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eg" ContentType="image/jpeg"/>
  <Default Extension="JPG" ContentType="image/.jpg"/>
  <Default Extension="png" ContentType="image/png"/>
  <Default Extension="emf" ContentType="image/x-emf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style1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 tabRatio="851" firstSheet="1" activeTab="4"/>
  </bookViews>
  <sheets>
    <sheet name="Overview" sheetId="22" state="hidden" r:id="rId1"/>
    <sheet name="User Guide" sheetId="49" r:id="rId2"/>
    <sheet name="Baseline year" sheetId="42" r:id="rId3"/>
    <sheet name="Primary (100% electrolytic)" sheetId="12" r:id="rId4"/>
    <sheet name="Casthouse &amp; Post-CH Data Entry" sheetId="41" r:id="rId5"/>
    <sheet name="Recycling Gate to Gate" sheetId="14" state="hidden" r:id="rId6"/>
    <sheet name="Semis Gate to Gate" sheetId="16" state="hidden" r:id="rId7"/>
    <sheet name="Integrated Proc'ment Scope 3.1" sheetId="48" r:id="rId8"/>
    <sheet name="Casthouse Scopes 1+2 Slope" sheetId="43" r:id="rId9"/>
    <sheet name="CH Procurement Scope 3 Cat.1" sheetId="45" r:id="rId10"/>
    <sheet name="Semi-fab Scopes 1+2 Slope Chart" sheetId="44" r:id="rId11"/>
    <sheet name="Semi-fab Procurement Scope 3.1" sheetId="47" r:id="rId12"/>
    <sheet name="Fabrication Proc'ment Scope 3.1" sheetId="46" r:id="rId13"/>
    <sheet name="Sectoral Slopes" sheetId="24" r:id="rId14"/>
    <sheet name="IAI 1.5" sheetId="36" r:id="rId15"/>
    <sheet name="5.2 smelter thresholds" sheetId="50" state="hidden" r:id="rId16"/>
    <sheet name="Primary Archetype Data Tables" sheetId="11" state="hidden" r:id="rId17"/>
    <sheet name="Primary (no split) Data Table" sheetId="26" state="hidden" r:id="rId18"/>
    <sheet name="Casthouse Proc'ment Data Table" sheetId="39" state="hidden" r:id="rId19"/>
    <sheet name="Semis Procurement Data Table" sheetId="35" state="hidden" r:id="rId20"/>
    <sheet name="Post-Semis Proc'ment Data Table" sheetId="38" state="hidden" r:id="rId21"/>
    <sheet name="Recycling G2G Data Table" sheetId="13" state="hidden" r:id="rId22"/>
    <sheet name="Semis G2G Data Table" sheetId="15" state="hidden" r:id="rId23"/>
    <sheet name="System Boundaries" sheetId="25" state="hidden" r:id="rId24"/>
    <sheet name="Dropdowns" sheetId="29" state="hidden" r:id="rId25"/>
  </sheets>
  <definedNames>
    <definedName name="Baseline_YEAR">'Baseline year'!$C$2</definedName>
  </definedNames>
  <calcPr calcId="144525"/>
</workbook>
</file>

<file path=xl/comments1.xml><?xml version="1.0" encoding="utf-8"?>
<comments xmlns="http://schemas.openxmlformats.org/spreadsheetml/2006/main">
  <authors>
    <author>Chris Bayliss</author>
  </authors>
  <commentList>
    <comment ref="C3" authorId="0">
      <text>
        <r>
          <rPr>
            <b/>
            <sz val="9"/>
            <rFont val="Tahoma"/>
            <charset val="134"/>
          </rPr>
          <t>Chris Bayliss:</t>
        </r>
        <r>
          <rPr>
            <sz val="9"/>
            <rFont val="Tahoma"/>
            <charset val="134"/>
          </rPr>
          <t xml:space="preserve">
ONLY electrolytic metal, no scrap recycling (other than runaround)</t>
        </r>
      </text>
    </comment>
    <comment ref="E3" authorId="0">
      <text>
        <r>
          <rPr>
            <b/>
            <sz val="9"/>
            <rFont val="Tahoma"/>
            <charset val="134"/>
          </rPr>
          <t>Chris Bayliss:</t>
        </r>
        <r>
          <rPr>
            <sz val="9"/>
            <rFont val="Tahoma"/>
            <charset val="134"/>
          </rPr>
          <t xml:space="preserve">
Emissions from bauxite mining, alumina refining, anode production, electrolysis &amp; casting processes</t>
        </r>
      </text>
    </comment>
    <comment ref="F3" authorId="0">
      <text>
        <r>
          <rPr>
            <b/>
            <sz val="9"/>
            <rFont val="Tahoma"/>
            <charset val="134"/>
          </rPr>
          <t>Chris Bayliss:</t>
        </r>
        <r>
          <rPr>
            <sz val="9"/>
            <rFont val="Tahoma"/>
            <charset val="134"/>
          </rPr>
          <t xml:space="preserve">
Electricity from bauxite mining, alumina refining, anode production, electrolysis &amp; casting processes</t>
        </r>
      </text>
    </comment>
    <comment ref="G3" authorId="0">
      <text>
        <r>
          <rPr>
            <b/>
            <sz val="9"/>
            <rFont val="Tahoma"/>
            <charset val="134"/>
          </rPr>
          <t>Chris Bayliss:</t>
        </r>
        <r>
          <rPr>
            <sz val="9"/>
            <rFont val="Tahoma"/>
            <charset val="134"/>
          </rPr>
          <t xml:space="preserve">
all other emissions cradle to gate</t>
        </r>
      </text>
    </comment>
  </commentList>
</comments>
</file>

<file path=xl/comments2.xml><?xml version="1.0" encoding="utf-8"?>
<comments xmlns="http://schemas.openxmlformats.org/spreadsheetml/2006/main">
  <authors>
    <author>Chris Bayliss</author>
  </authors>
  <commentList>
    <comment ref="C2" authorId="0">
      <text>
        <r>
          <rPr>
            <b/>
            <sz val="9"/>
            <rFont val="Tahoma"/>
            <charset val="134"/>
          </rPr>
          <t xml:space="preserve">Chris Bayliss:
</t>
        </r>
        <r>
          <rPr>
            <sz val="9"/>
            <rFont val="Tahoma"/>
            <charset val="134"/>
          </rPr>
          <t>2016 and 2017 from https://international-aluminium.org/statistics/greenhouse-gas-emissions-aluminium-sector/ 
Standards Committee (Sep 23) request to include base years to 2016
as 2016-2018 sees increasing emissions, assumption is 2016-2017 is level performance</t>
        </r>
      </text>
    </comment>
    <comment ref="B20" authorId="0">
      <text>
        <r>
          <rPr>
            <b/>
            <sz val="9"/>
            <rFont val="Tahoma"/>
            <charset val="134"/>
          </rPr>
          <t>Chris Bayliss:</t>
        </r>
        <r>
          <rPr>
            <sz val="9"/>
            <rFont val="Tahoma"/>
            <charset val="134"/>
          </rPr>
          <t xml:space="preserve">
interpolated values follow primary slope</t>
        </r>
      </text>
    </comment>
    <comment ref="B21" authorId="0">
      <text>
        <r>
          <rPr>
            <b/>
            <sz val="9"/>
            <rFont val="Tahoma"/>
            <charset val="134"/>
          </rPr>
          <t>Chris Bayliss:</t>
        </r>
        <r>
          <rPr>
            <sz val="9"/>
            <rFont val="Tahoma"/>
            <charset val="134"/>
          </rPr>
          <t xml:space="preserve">
interpolated values follow primary slope</t>
        </r>
      </text>
    </comment>
    <comment ref="B22" authorId="0">
      <text>
        <r>
          <rPr>
            <b/>
            <sz val="9"/>
            <rFont val="Tahoma"/>
            <charset val="134"/>
          </rPr>
          <t>Chris Bayliss:</t>
        </r>
        <r>
          <rPr>
            <sz val="9"/>
            <rFont val="Tahoma"/>
            <charset val="134"/>
          </rPr>
          <t xml:space="preserve">
interpolated values follow primary slope</t>
        </r>
      </text>
    </comment>
  </commentList>
</comments>
</file>

<file path=xl/sharedStrings.xml><?xml version="1.0" encoding="utf-8"?>
<sst xmlns="http://schemas.openxmlformats.org/spreadsheetml/2006/main" count="777" uniqueCount="233">
  <si>
    <r>
      <rPr>
        <sz val="11"/>
        <color theme="0" tint="-0.149998474074526"/>
        <rFont val="等线"/>
        <charset val="134"/>
        <scheme val="minor"/>
      </rPr>
      <t xml:space="preserve">Users can add </t>
    </r>
    <r>
      <rPr>
        <b/>
        <sz val="11"/>
        <color theme="0" tint="-0.149998474074526"/>
        <rFont val="等线"/>
        <charset val="134"/>
        <scheme val="minor"/>
      </rPr>
      <t>baseline year</t>
    </r>
    <r>
      <rPr>
        <sz val="11"/>
        <color theme="0" tint="-0.149998474074526"/>
        <rFont val="等线"/>
        <charset val="134"/>
        <scheme val="minor"/>
      </rPr>
      <t xml:space="preserve"> data to </t>
    </r>
    <r>
      <rPr>
        <u/>
        <sz val="11"/>
        <color theme="0" tint="-0.149998474074526"/>
        <rFont val="等线"/>
        <charset val="134"/>
        <scheme val="minor"/>
      </rPr>
      <t>editable</t>
    </r>
    <r>
      <rPr>
        <sz val="11"/>
        <color theme="0" tint="-0.149998474074526"/>
        <rFont val="等线"/>
        <charset val="134"/>
        <scheme val="minor"/>
      </rPr>
      <t xml:space="preserve"> fields with  </t>
    </r>
  </si>
  <si>
    <t>this format</t>
  </si>
  <si>
    <t xml:space="preserve">  to autocalculate and plot 2021-2050 pathways. I haven't locked any fields, so take care.</t>
  </si>
  <si>
    <t>The following editable worksheets allow user inputs of assets/processes within ASI Entities to illustrate 1.5 aligned pathways for:</t>
  </si>
  <si>
    <t>"Primary C2G (100% electrolytic)"</t>
  </si>
  <si>
    <t>- Primary aluminium electricity/non-electricity/total emissions intensity across a portfolio of smelters, measured at the casthouse, where no external scrap is used</t>
  </si>
  <si>
    <t>"Casthouse (cut-off)"</t>
  </si>
  <si>
    <t>- Cradle to gate slopes for use by non-smelter casthouses using cut-off method</t>
  </si>
  <si>
    <t>"Casthouse (mass allocation)"</t>
  </si>
  <si>
    <t>- Cradle to gate slopes for casthouses (smelter or other), using mass allocation for scrap inputs</t>
  </si>
  <si>
    <t>"Supplier slope tool"</t>
  </si>
  <si>
    <t>"Semis"</t>
  </si>
  <si>
    <t>- Cradle to gate slopes for semi-fabrication processes (including those integrated with casthouses)</t>
  </si>
  <si>
    <t>"Post-Semis"</t>
  </si>
  <si>
    <t>- Cradle to gate slopes for post-casthouse processes (including those integrated with casthouses)</t>
  </si>
  <si>
    <t>The following is an output sheet showing slopes for integrated facilities:</t>
  </si>
  <si>
    <t>"Integrated Entity Slopes"</t>
  </si>
  <si>
    <t>- Cradle to gate slopes for Entities with integrated facilities (casthouse &gt; semis &gt; fab)</t>
  </si>
  <si>
    <t>The following reference worksheets contain sectoral cradle to gate pathways (2018-2050) for primary aluminium (at smelter casthouse), total casthouse (cut-off), semi-fabrication and fabrication</t>
  </si>
  <si>
    <t>"Sectoral C2G Slopes"</t>
  </si>
  <si>
    <t>- Annual modelled data</t>
  </si>
  <si>
    <t>"IAI 1.5"</t>
  </si>
  <si>
    <t xml:space="preserve">- Periodic IAI data from https://international-aluminium.org/wp-content/uploads/2021/10/1.5-Scenario-Dataset-3.xlsx </t>
  </si>
  <si>
    <t>The following editable worksheets allow user inputs of assets/processes within ASI Entities to illustrate gate to gate pathways (ALTHOUGH THESE ARE NOT ALIGNED WITH CRITERION 5.3 WHICH MANDATES ALL DIRECT AND INDIRECT EMISSIONS):</t>
  </si>
  <si>
    <t>[HIDDEN]</t>
  </si>
  <si>
    <t>"Recycling Gate to Gate"</t>
  </si>
  <si>
    <t>- Recycling gate to gate emissions intensity across a portfolio of remelters for the scrap share only</t>
  </si>
  <si>
    <t>"Semis Gate to Gate"</t>
  </si>
  <si>
    <t>- Semi fabrication gate to gate emissions intensity across a portfolio of semis processes/assets</t>
  </si>
  <si>
    <t>The following reference worksheets contain archetypal pathways at given increments with 2021 baselines for:</t>
  </si>
  <si>
    <t>"Primary Archetype Data Tables"</t>
  </si>
  <si>
    <t>- Primary aluminium cradle to gate electricity and non-electricity split emissions intensity (bauxite mining, alumina refining, anode production, electrolysis and casting processes) [based on IAI/MPP]</t>
  </si>
  <si>
    <t>"Primary (no split) Data Table"</t>
  </si>
  <si>
    <t>- Primary aluminium cradle to gate emissions intensity (bauxite mining, alumina refining, anode production, electrolysis and casting processes and all input materials) [based on IAI/MPP]</t>
  </si>
  <si>
    <t>"Casthouse (cut off) Data Table"</t>
  </si>
  <si>
    <t>- Casthouse aluminium cradle to gate emissions intensity of total casthouse (primary &amp; remelt) production [IAI]</t>
  </si>
  <si>
    <t>"Semis C2G Archetype Data Table"</t>
  </si>
  <si>
    <t>- Semis processes cradle to gate emissions intensity [IAI]</t>
  </si>
  <si>
    <t>"Post-Semis C2G Archetypes"</t>
  </si>
  <si>
    <t>- Fabrication scope 3 category 1 cradle to gate emissions intensity [IAI]</t>
  </si>
  <si>
    <t>"Recycling G2G Archetypes"</t>
  </si>
  <si>
    <t>- Recycling process gate to gate emissions intensity [IAI/MPP]</t>
  </si>
  <si>
    <t>"Semis G2G Archetype Data Table"</t>
  </si>
  <si>
    <t>- Semis processes gate to gate emissions intensity [IAI]</t>
  </si>
  <si>
    <t>1. Choose a base year in the "Baseline year" worksheet</t>
  </si>
  <si>
    <t>2a. If Entity includes smelter(s), but no downstream activity (or recycling of non-runaround scrap in smelter casthouse), complete worksheet "Primary (100% electrolytic)"</t>
  </si>
  <si>
    <t>2b. All other Entities, complete worksheet "Casthouse &amp; Post-CH Data Entry"</t>
  </si>
  <si>
    <t>Worksheet fields colour coding:</t>
  </si>
  <si>
    <t>User data entry, where supply chain activity is relevant</t>
  </si>
  <si>
    <t>Optional user data entry, to refine results (e.g. electricity/non-electricity split for primary or integrated slopes for downstream)</t>
  </si>
  <si>
    <t>Auto-calculation, based on user-entered data</t>
  </si>
  <si>
    <t xml:space="preserve">1.5 degree aligned Entity slope(s) </t>
  </si>
  <si>
    <t>Sheets currently locked for all but user data entry and slopes - password 'Alum1n1um'</t>
  </si>
  <si>
    <t>Choose a Baseline YEAR:</t>
  </si>
  <si>
    <t>2023</t>
  </si>
  <si>
    <t>- Entities that are developing GHG Pathways for the first time are encouraged to use the most recent year for which data is available as the base year.
- If an Entity has more detailed data for a previous year this is acceptable for validation purposes, as long as most recent year data is also disclosed.
- If the chosen base year is more than three (3) years prior to the initial ASI Performance Standard Certification/Re-Certification Audit that is assessing conformance with Criterion 5.3 (e.g. to align with a corporate baseline), the most recent year data should indicate already achieved performance in line with the Entity Pathway in order for the Entity to be in conformance.
- The base year should be fixed for the duration of the Pathway.
- Intermediate Targets must cover a period no greater than five (5) years from the chosen base year.</t>
  </si>
  <si>
    <t>Production (t Al)</t>
  </si>
  <si>
    <t>Cradle to Gate Emissions Intensity (t CO2e/t Al)</t>
  </si>
  <si>
    <t>…of which Electricity Emissions Intensity, if known (t CO2e/t Al)</t>
  </si>
  <si>
    <t>Non-Electricity Emissions Intensity (t CO2e/t Al)</t>
  </si>
  <si>
    <t>Smelter casthouse A</t>
  </si>
  <si>
    <t>Smelter casthouse B</t>
  </si>
  <si>
    <t>Smelter casthouse C</t>
  </si>
  <si>
    <t>Smelter casthouse D</t>
  </si>
  <si>
    <t>….INSERT row(s) above to increase portfolio</t>
  </si>
  <si>
    <t>Entity production weighted average</t>
  </si>
  <si>
    <t>Archetype slope</t>
  </si>
  <si>
    <t>Entity Electricity Emissions Intensity</t>
  </si>
  <si>
    <t>~</t>
  </si>
  <si>
    <t>Entity Non-Electricity Emissions Intensity</t>
  </si>
  <si>
    <t>Entity Total Cradle to Gate Emissions Intensity</t>
  </si>
  <si>
    <t>A</t>
  </si>
  <si>
    <t>B</t>
  </si>
  <si>
    <t>C</t>
  </si>
  <si>
    <t xml:space="preserve">Type of INPUT to which column B and C applies (column A applies to whole process) </t>
  </si>
  <si>
    <t>Process Scope 1+2 Intensity (t CO2e/t Al)</t>
  </si>
  <si>
    <r>
      <rPr>
        <b/>
        <sz val="11"/>
        <color theme="1"/>
        <rFont val="等线"/>
        <charset val="134"/>
        <scheme val="minor"/>
      </rPr>
      <t xml:space="preserve">Scope 3 Cat.1 average intensity of </t>
    </r>
    <r>
      <rPr>
        <b/>
        <u/>
        <sz val="11"/>
        <color theme="1"/>
        <rFont val="等线"/>
        <charset val="134"/>
        <scheme val="minor"/>
      </rPr>
      <t>PURCHASED</t>
    </r>
    <r>
      <rPr>
        <b/>
        <sz val="11"/>
        <color theme="1"/>
        <rFont val="等线"/>
        <charset val="134"/>
        <scheme val="minor"/>
      </rPr>
      <t xml:space="preserve"> Aluminium (including scrap) (t CO2e/t Al)
OR, if smelter casthouse:
Average emissions intensity of Aluminium </t>
    </r>
    <r>
      <rPr>
        <b/>
        <u/>
        <sz val="11"/>
        <color theme="1"/>
        <rFont val="等线"/>
        <charset val="134"/>
        <scheme val="minor"/>
      </rPr>
      <t>INPUT</t>
    </r>
    <r>
      <rPr>
        <b/>
        <sz val="11"/>
        <color theme="1"/>
        <rFont val="等线"/>
        <charset val="134"/>
        <scheme val="minor"/>
      </rPr>
      <t xml:space="preserve"> to the casthouse
(including liquid electrolytic tapped from pots, cold metal and scrap)</t>
    </r>
  </si>
  <si>
    <r>
      <rPr>
        <b/>
        <sz val="11"/>
        <color theme="1"/>
        <rFont val="等线"/>
        <charset val="134"/>
        <scheme val="minor"/>
      </rPr>
      <t xml:space="preserve">Mass of aluminium </t>
    </r>
    <r>
      <rPr>
        <b/>
        <u/>
        <sz val="11"/>
        <color theme="1"/>
        <rFont val="等线"/>
        <charset val="134"/>
        <scheme val="minor"/>
      </rPr>
      <t>INPUT</t>
    </r>
    <r>
      <rPr>
        <b/>
        <sz val="11"/>
        <color theme="1"/>
        <rFont val="等线"/>
        <charset val="134"/>
        <scheme val="minor"/>
      </rPr>
      <t xml:space="preserve"> (t Al), 
Only required if Entity wishes to use a single integrated (multi-process) procurement slope</t>
    </r>
  </si>
  <si>
    <t>= purchased scrap (not including internal scrap) plus aluminium metal (cold or liquid)</t>
  </si>
  <si>
    <t>= purchased casthouse products (not including those internally produced in integrated casthouse)</t>
  </si>
  <si>
    <t>= purchased semi-fabricated &amp; fabricated products (not including those internally produced in integrated semi-fab or fabrication process)</t>
  </si>
  <si>
    <t xml:space="preserve"> CASTHOUSE </t>
  </si>
  <si>
    <t>GATE TO GATE SLOPE (scope 1+2) =</t>
  </si>
  <si>
    <t>PROCUREMENT SLOPE (Scope 3, Cat.1) MEASURED AT INPUT =</t>
  </si>
  <si>
    <t xml:space="preserve"> SEMI-FABRICATION </t>
  </si>
  <si>
    <t xml:space="preserve">FABRICATION </t>
  </si>
  <si>
    <t xml:space="preserve">INTEGRATED PROCUREMENT </t>
  </si>
  <si>
    <t>Scope 1+2 Emissions Intensity (t CO2e/t Al)</t>
  </si>
  <si>
    <t>Scrap Remelt Production (t Al)</t>
  </si>
  <si>
    <t>Recycler A</t>
  </si>
  <si>
    <t>Recycler B</t>
  </si>
  <si>
    <t>Recycler C</t>
  </si>
  <si>
    <t>Recycler D</t>
  </si>
  <si>
    <t>Recycler E</t>
  </si>
  <si>
    <t>Recycler F</t>
  </si>
  <si>
    <t>Recycler G</t>
  </si>
  <si>
    <t>Average Recycling Gate to Gate Emissions Intensity</t>
  </si>
  <si>
    <t>Semis Production (t Al)</t>
  </si>
  <si>
    <t>Semifabricator A</t>
  </si>
  <si>
    <t>Semifabricator B</t>
  </si>
  <si>
    <t>Semifabricator C</t>
  </si>
  <si>
    <t>Semifabricator D</t>
  </si>
  <si>
    <t>Semifabricator E</t>
  </si>
  <si>
    <t>Semifabricator F</t>
  </si>
  <si>
    <t>Semifabricator G</t>
  </si>
  <si>
    <t>Average Semis Gate to Gate Emissions Intensity</t>
  </si>
  <si>
    <t>Sectoral Benchmark</t>
  </si>
  <si>
    <t>Aluminium Sector Absolute Mt CO2e (IAI)</t>
  </si>
  <si>
    <t>Primary Aluminium Sector Absolute Mt CO2e (IAI)</t>
  </si>
  <si>
    <t>Recycling Process Aluminium Sector Absolute Mt CO2e (IAI)</t>
  </si>
  <si>
    <t>Remelt (semis &amp; internal) Aluminium Sector Absolute Mt CO2e (IAI)</t>
  </si>
  <si>
    <t>Semis Process Aluminium Sector Absolute Mt CO2e (IAI)</t>
  </si>
  <si>
    <t>Primary production Mt Al (IAI)</t>
  </si>
  <si>
    <t>Internal &amp; fabrication scrap (semis) Mt Al</t>
  </si>
  <si>
    <t>Manufacturing scrap (post-semis) Mt Al</t>
  </si>
  <si>
    <t>Post-consumer scrap Mt Al</t>
  </si>
  <si>
    <r>
      <rPr>
        <sz val="11"/>
        <color theme="1"/>
        <rFont val="等线"/>
        <charset val="134"/>
        <scheme val="minor"/>
      </rPr>
      <t xml:space="preserve">Total remelt production Mt Al [equivalent to Semis </t>
    </r>
    <r>
      <rPr>
        <b/>
        <u/>
        <sz val="11"/>
        <color theme="1"/>
        <rFont val="等线"/>
        <charset val="134"/>
        <scheme val="minor"/>
      </rPr>
      <t>INPUT</t>
    </r>
    <r>
      <rPr>
        <sz val="11"/>
        <color theme="1"/>
        <rFont val="等线"/>
        <charset val="134"/>
        <scheme val="minor"/>
      </rPr>
      <t>]</t>
    </r>
  </si>
  <si>
    <r>
      <rPr>
        <sz val="11"/>
        <color theme="1"/>
        <rFont val="等线"/>
        <charset val="134"/>
        <scheme val="minor"/>
      </rPr>
      <t xml:space="preserve">Aluminium Sector Semis </t>
    </r>
    <r>
      <rPr>
        <b/>
        <i/>
        <u/>
        <sz val="11"/>
        <color theme="1"/>
        <rFont val="等线"/>
        <charset val="134"/>
        <scheme val="minor"/>
      </rPr>
      <t>SHIPMENTS</t>
    </r>
    <r>
      <rPr>
        <sz val="11"/>
        <color theme="1"/>
        <rFont val="等线"/>
        <charset val="134"/>
        <scheme val="minor"/>
      </rPr>
      <t xml:space="preserve"> Mt Al (IAI) [equivalent to Fab </t>
    </r>
    <r>
      <rPr>
        <b/>
        <u/>
        <sz val="11"/>
        <color theme="1"/>
        <rFont val="等线"/>
        <charset val="134"/>
        <scheme val="minor"/>
      </rPr>
      <t>INPUT</t>
    </r>
    <r>
      <rPr>
        <sz val="11"/>
        <color theme="1"/>
        <rFont val="等线"/>
        <charset val="134"/>
        <scheme val="minor"/>
      </rPr>
      <t>]</t>
    </r>
  </si>
  <si>
    <t>Primary (electricity) Sectoral Cradle-to-Gate (t CO2e/t Al) (IAI/MPP)  - need ref (CCAF DRAFT - PUBLISHED 4 Dec '23)</t>
  </si>
  <si>
    <t>Primary (non-electricity) Sectoral Cradle-to-Gate (t CO2e/t Al) (IAI/MPP)  - need ref (CCAF - PUBLISHED 4 Dec '23)</t>
  </si>
  <si>
    <t>Primary Sectoral Cradle-to-Gate (t CO2e/t Al) (IAI/MPP) - need ref (CCAF - PUBLISHED 4 Dec '23)</t>
  </si>
  <si>
    <t>Casthouse Input (t CO2e/t Al)</t>
  </si>
  <si>
    <t>Casthouse Sectoral Cradle-to-Gate (t CO2e/t Al)</t>
  </si>
  <si>
    <t>Semis Sectoral Cradle-to-Gate (t CO2e/t Al)</t>
  </si>
  <si>
    <t>Recycling Gate-to-Gate Sectoral (IAI/MPP) - need ref (CCAF - PUBLISHED 4 Dec '23)</t>
  </si>
  <si>
    <t>Semis Gate-to-Gate Sectoral (IAI/MPP) - need ref (CCAF - PUBLISHED 4 Dec '23)</t>
  </si>
  <si>
    <t>Pre consumer scrap</t>
  </si>
  <si>
    <t>Post consumer scrap</t>
  </si>
  <si>
    <t>Electrolysis</t>
  </si>
  <si>
    <t>Casthouse</t>
  </si>
  <si>
    <t>Semis</t>
  </si>
  <si>
    <t>Fab</t>
  </si>
  <si>
    <r>
      <rPr>
        <b/>
        <sz val="14"/>
        <color rgb="FF47A5AE"/>
        <rFont val="等线"/>
        <charset val="134"/>
        <scheme val="minor"/>
      </rPr>
      <t>1.5</t>
    </r>
    <r>
      <rPr>
        <b/>
        <sz val="14"/>
        <color rgb="FF47A5AE"/>
        <rFont val="Calibri"/>
        <charset val="134"/>
      </rPr>
      <t xml:space="preserve">° </t>
    </r>
    <r>
      <rPr>
        <b/>
        <sz val="14"/>
        <color rgb="FF47A5AE"/>
        <rFont val="等线"/>
        <charset val="134"/>
        <scheme val="minor"/>
      </rPr>
      <t>Scenario for the Aluminium Sector</t>
    </r>
  </si>
  <si>
    <t>Table 1: 1.5 GHG Budget Aluminium Sector</t>
  </si>
  <si>
    <r>
      <rPr>
        <sz val="11"/>
        <color theme="1" tint="0.349986266670736"/>
        <rFont val="等线"/>
        <charset val="134"/>
        <scheme val="minor"/>
      </rPr>
      <t>CO</t>
    </r>
    <r>
      <rPr>
        <vertAlign val="subscript"/>
        <sz val="11"/>
        <color theme="1" tint="0.349986266670736"/>
        <rFont val="等线"/>
        <charset val="134"/>
        <scheme val="minor"/>
      </rPr>
      <t>2</t>
    </r>
    <r>
      <rPr>
        <sz val="11"/>
        <color theme="1" tint="0.349986266670736"/>
        <rFont val="等线"/>
        <charset val="134"/>
        <scheme val="minor"/>
      </rPr>
      <t>e emissions (Mt)</t>
    </r>
  </si>
  <si>
    <t>2018-2030</t>
  </si>
  <si>
    <t>2018-2040</t>
  </si>
  <si>
    <t>2018-2050</t>
  </si>
  <si>
    <t>Electricity (Electrolysis)</t>
  </si>
  <si>
    <t>Mine to electricity use</t>
  </si>
  <si>
    <t>Electricity (Other)</t>
  </si>
  <si>
    <t>Aluminium Industry</t>
  </si>
  <si>
    <t>Calculated based on IEA</t>
  </si>
  <si>
    <t>Aluminium in Other Sectors + Transport</t>
  </si>
  <si>
    <t>PFC</t>
  </si>
  <si>
    <t>Aluminium Sector</t>
  </si>
  <si>
    <t>Table 2: 1.5 Budget Aluminium Sector by Process</t>
  </si>
  <si>
    <r>
      <rPr>
        <sz val="11"/>
        <color theme="2" tint="-0.499984740745262"/>
        <rFont val="等线"/>
        <charset val="134"/>
        <scheme val="minor"/>
      </rPr>
      <t>CO</t>
    </r>
    <r>
      <rPr>
        <vertAlign val="subscript"/>
        <sz val="11"/>
        <color theme="2" tint="-0.499984740745262"/>
        <rFont val="等线"/>
        <charset val="134"/>
        <scheme val="minor"/>
      </rPr>
      <t>2</t>
    </r>
    <r>
      <rPr>
        <sz val="11"/>
        <color theme="2" tint="-0.499984740745262"/>
        <rFont val="等线"/>
        <charset val="134"/>
        <scheme val="minor"/>
      </rPr>
      <t>e emissions (Mt)</t>
    </r>
  </si>
  <si>
    <t>Primary Aluminium</t>
  </si>
  <si>
    <t>Refining</t>
  </si>
  <si>
    <t>Recycled Aluminium</t>
  </si>
  <si>
    <t>Internal Scrap/Fabrication Scrap</t>
  </si>
  <si>
    <t>Semis Process</t>
  </si>
  <si>
    <t>Table 3: 1.5 Production</t>
  </si>
  <si>
    <t>Aluminium (Mt)</t>
  </si>
  <si>
    <t>New Scrap/Manufacturing Scrap</t>
  </si>
  <si>
    <t>Old Scrap/Post-Consumer Scrap</t>
  </si>
  <si>
    <t>Semis Shipments</t>
  </si>
  <si>
    <t>Final Product Shipments</t>
  </si>
  <si>
    <t>New Scrap + Internal Scrap = Pre-Consumer Scrap</t>
  </si>
  <si>
    <t>Recycled Aluminium = Includes Alloying Elements and Metal Losses</t>
  </si>
  <si>
    <t xml:space="preserve">Primary Aluminium = Tapped from Electrolytic Cells or Pots </t>
  </si>
  <si>
    <t>Table 4: 1.5 Intensity Data (Process Emissions)</t>
  </si>
  <si>
    <r>
      <rPr>
        <sz val="11"/>
        <color theme="2" tint="-0.499984740745262"/>
        <rFont val="等线"/>
        <charset val="134"/>
        <scheme val="minor"/>
      </rPr>
      <t>CO</t>
    </r>
    <r>
      <rPr>
        <vertAlign val="subscript"/>
        <sz val="11"/>
        <color theme="2" tint="-0.499984740745262"/>
        <rFont val="等线"/>
        <charset val="134"/>
        <scheme val="minor"/>
      </rPr>
      <t>2</t>
    </r>
    <r>
      <rPr>
        <sz val="11"/>
        <color theme="2" tint="-0.499984740745262"/>
        <rFont val="等线"/>
        <charset val="134"/>
        <scheme val="minor"/>
      </rPr>
      <t>e emissions intensity (tonnes per tonne)</t>
    </r>
  </si>
  <si>
    <t>Recycled Aluminium (Gate to Gate)</t>
  </si>
  <si>
    <t>Including collection and processing</t>
  </si>
  <si>
    <t>Semis Process (Gate to Gate)</t>
  </si>
  <si>
    <t>5.2 threshold (pre-2020 )</t>
  </si>
  <si>
    <t>drop-line 13</t>
  </si>
  <si>
    <t>5.2 threshold (post-2020)</t>
  </si>
  <si>
    <t>drop-line 11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</si>
  <si>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</si>
  <si>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</si>
  <si>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</si>
  <si>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</si>
  <si>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</si>
  <si>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</si>
  <si>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</si>
  <si>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</si>
  <si>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</si>
  <si>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</si>
  <si>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</si>
  <si>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</si>
  <si>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</si>
  <si>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</si>
  <si>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</si>
  <si>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</si>
  <si>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</si>
  <si>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</si>
  <si>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</si>
  <si>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</si>
  <si>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</si>
  <si>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</si>
  <si>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</si>
  <si>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</si>
  <si>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</si>
  <si>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</si>
  <si>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</si>
  <si>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</si>
  <si>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</si>
  <si>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</si>
  <si>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</si>
  <si>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</si>
  <si>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</si>
  <si>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</si>
  <si>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Primary Sectoral Electricity (IAI/MPP)</t>
  </si>
  <si>
    <t>Primary Sectoral Non-Electricity (IAI/MPP)</t>
  </si>
  <si>
    <t>Primary Sectoral Cradle-to-Gate (IAI/MPP)</t>
  </si>
  <si>
    <t>Electricity SDAs (0.1 t CO2e/t Al increments)</t>
  </si>
  <si>
    <t>BASELINE BELOW 2050 TARGET</t>
  </si>
  <si>
    <t>Non-Electricity SDAs (0.1 t CO2e/t Al increments)</t>
  </si>
  <si>
    <t>Casthouse Procurement Sectoral</t>
  </si>
  <si>
    <t>Semis Procurement Sectoral (IAI)</t>
  </si>
  <si>
    <t>Semis SDAs (0.1 t CO2e/t Al increments)</t>
  </si>
  <si>
    <t>Post-semis Procurement Sectoral (IAI)</t>
  </si>
  <si>
    <t>Post-semis SDAs (0.1 t CO2e/t Al increments)</t>
  </si>
  <si>
    <t>Recycling Gate-to-Gate Sectoral (IAI/MPP)</t>
  </si>
  <si>
    <t>Recycling SDAs (0.005 t CO2e/t Al increments)</t>
  </si>
  <si>
    <t>Semis Gate-to-Gate Sectoral (IAI)</t>
  </si>
  <si>
    <t>Semis SDAs (0.005 t CO2e/t Al increments)</t>
  </si>
  <si>
    <t xml:space="preserve">Primary: </t>
  </si>
  <si>
    <t>https://international-aluminium.org/resource/good-practice-for-calculation-of-primary-aluminium-and-precursor-product-carbon-footprints/</t>
  </si>
  <si>
    <t>Recycling:</t>
  </si>
  <si>
    <t>Melting furnaces (scopes 1 &amp;2), holding furnaces and casting (scopes 1&amp; 2)</t>
  </si>
  <si>
    <t>Allocation</t>
  </si>
  <si>
    <t>Name</t>
  </si>
  <si>
    <t>Column1</t>
  </si>
  <si>
    <t>Yes</t>
  </si>
  <si>
    <t>100% burden to the product</t>
  </si>
  <si>
    <t>Cut-off</t>
  </si>
  <si>
    <t>No</t>
  </si>
  <si>
    <t>Burden shared equally between product and process-generated scrap</t>
  </si>
  <si>
    <t>Mass allocation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</si>
</sst>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"/>
    <numFmt numFmtId="177" formatCode="_-* #,##0.00_-;\-* #,##0.00_-;_-* &quot;-&quot;??_-;_-@_-"/>
    <numFmt numFmtId="178" formatCode="_(&quot;$&quot;* #,##0.00_);_(&quot;$&quot;* \(#,##0.00\);_(&quot;$&quot;* &quot;-&quot;??_);_(@_)"/>
    <numFmt numFmtId="179" formatCode="0.000"/>
    <numFmt numFmtId="180" formatCode="0.0"/>
    <numFmt numFmtId="181" formatCode="_-* #,##0_-;\-* #,##0_-;_-* &quot;-&quot;??_-;_-@_-"/>
    <numFmt numFmtId="182" formatCode="0.00_ "/>
  </numFmts>
  <fonts count="42">
    <font>
      <sz val="11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theme="1" tint="0.349986266670736"/>
      <name val="等线"/>
      <charset val="134"/>
      <scheme val="minor"/>
    </font>
    <font>
      <b/>
      <sz val="14"/>
      <color rgb="FF47A5AE"/>
      <name val="等线"/>
      <charset val="134"/>
      <scheme val="minor"/>
    </font>
    <font>
      <sz val="11"/>
      <color theme="2" tint="-0.499984740745262"/>
      <name val="等线"/>
      <charset val="134"/>
      <scheme val="minor"/>
    </font>
    <font>
      <sz val="9"/>
      <color theme="0" tint="-0.499984740745262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0" tint="-0.149998474074526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Arial"/>
      <charset val="134"/>
    </font>
    <font>
      <b/>
      <sz val="14"/>
      <color rgb="FF47A5AE"/>
      <name val="Calibri"/>
      <charset val="134"/>
    </font>
    <font>
      <vertAlign val="subscript"/>
      <sz val="11"/>
      <color theme="1" tint="0.349986266670736"/>
      <name val="等线"/>
      <charset val="134"/>
      <scheme val="minor"/>
    </font>
    <font>
      <vertAlign val="subscript"/>
      <sz val="11"/>
      <color theme="2" tint="-0.499984740745262"/>
      <name val="等线"/>
      <charset val="134"/>
      <scheme val="minor"/>
    </font>
    <font>
      <b/>
      <u/>
      <sz val="11"/>
      <color theme="1"/>
      <name val="等线"/>
      <charset val="134"/>
      <scheme val="minor"/>
    </font>
    <font>
      <b/>
      <i/>
      <u/>
      <sz val="11"/>
      <color theme="1"/>
      <name val="等线"/>
      <charset val="134"/>
      <scheme val="minor"/>
    </font>
    <font>
      <b/>
      <sz val="11"/>
      <color theme="0" tint="-0.149998474074526"/>
      <name val="等线"/>
      <charset val="134"/>
      <scheme val="minor"/>
    </font>
    <font>
      <u/>
      <sz val="11"/>
      <color theme="0" tint="-0.149998474074526"/>
      <name val="等线"/>
      <charset val="134"/>
      <scheme val="minor"/>
    </font>
    <font>
      <b/>
      <sz val="9"/>
      <name val="Tahoma"/>
      <charset val="134"/>
    </font>
    <font>
      <sz val="9"/>
      <name val="Tahoma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2"/>
        <bgColor indexed="64"/>
      </patternFill>
    </fill>
    <fill>
      <patternFill patternType="lightUp">
        <fgColor theme="6"/>
        <bgColor theme="7" tint="0.79985961485641"/>
      </patternFill>
    </fill>
    <fill>
      <patternFill patternType="solid">
        <fgColor theme="0" tint="-0.149998474074526"/>
        <bgColor indexed="64"/>
      </patternFill>
    </fill>
    <fill>
      <patternFill patternType="lightUp">
        <bgColor theme="7" tint="0.799951170384838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38">
    <border>
      <left/>
      <right/>
      <top/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/>
      <right style="medium">
        <color theme="2"/>
      </right>
      <top style="medium">
        <color theme="0" tint="-0.49998474074526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0" tint="-0.499984740745262"/>
      </top>
      <bottom style="medium">
        <color theme="2"/>
      </bottom>
      <diagonal/>
    </border>
    <border>
      <left style="medium">
        <color theme="2"/>
      </left>
      <right/>
      <top style="medium">
        <color theme="0" tint="-0.499984740745262"/>
      </top>
      <bottom style="medium">
        <color theme="2"/>
      </bottom>
      <diagonal/>
    </border>
    <border>
      <left style="medium">
        <color theme="2"/>
      </left>
      <right/>
      <top style="medium">
        <color theme="0" tint="-0.499984740745262"/>
      </top>
      <bottom/>
      <diagonal/>
    </border>
    <border>
      <left/>
      <right style="medium">
        <color theme="2"/>
      </right>
      <top style="medium">
        <color theme="2"/>
      </top>
      <bottom style="medium">
        <color theme="0" tint="-0.49998474074526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0" tint="-0.499984740745262"/>
      </bottom>
      <diagonal/>
    </border>
    <border>
      <left style="medium">
        <color theme="2"/>
      </left>
      <right/>
      <top style="medium">
        <color theme="2"/>
      </top>
      <bottom style="medium">
        <color theme="0" tint="-0.499984740745262"/>
      </bottom>
      <diagonal/>
    </border>
    <border>
      <left style="medium">
        <color theme="2"/>
      </left>
      <right/>
      <top/>
      <bottom style="medium">
        <color theme="0" tint="-0.49998474074526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2"/>
      </left>
      <right style="medium">
        <color theme="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/>
      <top/>
      <bottom/>
      <diagonal/>
    </border>
    <border>
      <left/>
      <right/>
      <top style="medium">
        <color theme="0" tint="-0.49998474074526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 tint="-0.499984740745262"/>
      </bottom>
      <diagonal/>
    </border>
    <border>
      <left/>
      <right style="medium">
        <color theme="2"/>
      </right>
      <top style="medium">
        <color theme="0" tint="-0.499984740745262"/>
      </top>
      <bottom/>
      <diagonal/>
    </border>
    <border>
      <left/>
      <right style="medium">
        <color theme="2"/>
      </right>
      <top/>
      <bottom style="medium">
        <color theme="0" tint="-0.499984740745262"/>
      </bottom>
      <diagonal/>
    </border>
    <border>
      <left/>
      <right/>
      <top style="medium">
        <color theme="2"/>
      </top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3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0" fillId="21" borderId="31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5" fillId="23" borderId="34" applyNumberFormat="0" applyAlignment="0" applyProtection="0">
      <alignment vertical="center"/>
    </xf>
    <xf numFmtId="0" fontId="26" fillId="23" borderId="30" applyNumberFormat="0" applyAlignment="0" applyProtection="0">
      <alignment vertical="center"/>
    </xf>
    <xf numFmtId="0" fontId="27" fillId="24" borderId="35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2" fillId="0" borderId="0"/>
    <xf numFmtId="0" fontId="14" fillId="3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</cellStyleXfs>
  <cellXfs count="185">
    <xf numFmtId="0" fontId="0" fillId="0" borderId="0" xfId="0"/>
    <xf numFmtId="1" fontId="0" fillId="0" borderId="0" xfId="0" applyNumberFormat="1"/>
    <xf numFmtId="0" fontId="1" fillId="0" borderId="0" xfId="11"/>
    <xf numFmtId="179" fontId="0" fillId="0" borderId="0" xfId="0" applyNumberFormat="1"/>
    <xf numFmtId="180" fontId="0" fillId="0" borderId="0" xfId="0" applyNumberFormat="1"/>
    <xf numFmtId="2" fontId="0" fillId="0" borderId="0" xfId="0" applyNumberFormat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vertical="center"/>
    </xf>
    <xf numFmtId="0" fontId="2" fillId="2" borderId="4" xfId="44" applyFont="1" applyFill="1" applyBorder="1" applyAlignment="1">
      <alignment vertical="center"/>
    </xf>
    <xf numFmtId="0" fontId="2" fillId="0" borderId="5" xfId="44" applyFont="1" applyBorder="1" applyAlignment="1">
      <alignment horizontal="center"/>
    </xf>
    <xf numFmtId="0" fontId="2" fillId="0" borderId="6" xfId="44" applyFont="1" applyBorder="1" applyAlignment="1">
      <alignment horizontal="center"/>
    </xf>
    <xf numFmtId="0" fontId="2" fillId="0" borderId="7" xfId="0" applyFont="1" applyBorder="1" applyAlignment="1">
      <alignment horizontal="right" wrapText="1"/>
    </xf>
    <xf numFmtId="0" fontId="2" fillId="2" borderId="8" xfId="44" applyFont="1" applyFill="1" applyBorder="1" applyAlignment="1">
      <alignment vertical="center"/>
    </xf>
    <xf numFmtId="1" fontId="2" fillId="0" borderId="9" xfId="44" applyNumberFormat="1" applyFont="1" applyBorder="1" applyAlignment="1">
      <alignment horizontal="right" vertical="center"/>
    </xf>
    <xf numFmtId="1" fontId="2" fillId="0" borderId="10" xfId="44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181" fontId="2" fillId="0" borderId="1" xfId="8" applyNumberFormat="1" applyFont="1" applyFill="1" applyBorder="1" applyAlignment="1">
      <alignment horizontal="right"/>
    </xf>
    <xf numFmtId="9" fontId="2" fillId="0" borderId="12" xfId="12" applyFont="1" applyBorder="1" applyAlignment="1">
      <alignment horizontal="right"/>
    </xf>
    <xf numFmtId="181" fontId="2" fillId="0" borderId="2" xfId="8" applyNumberFormat="1" applyFont="1" applyFill="1" applyBorder="1" applyAlignment="1">
      <alignment horizontal="right"/>
    </xf>
    <xf numFmtId="9" fontId="2" fillId="0" borderId="3" xfId="12" applyFont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181" fontId="2" fillId="0" borderId="0" xfId="8" applyNumberFormat="1" applyFont="1" applyFill="1" applyBorder="1"/>
    <xf numFmtId="9" fontId="2" fillId="0" borderId="0" xfId="12" applyFont="1" applyBorder="1" applyAlignment="1">
      <alignment horizontal="right"/>
    </xf>
    <xf numFmtId="0" fontId="4" fillId="2" borderId="13" xfId="0" applyFont="1" applyFill="1" applyBorder="1"/>
    <xf numFmtId="181" fontId="4" fillId="0" borderId="14" xfId="8" applyNumberFormat="1" applyFont="1" applyFill="1" applyBorder="1" applyAlignment="1">
      <alignment horizontal="right"/>
    </xf>
    <xf numFmtId="9" fontId="4" fillId="0" borderId="15" xfId="12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4" xfId="44" applyFont="1" applyBorder="1" applyAlignment="1">
      <alignment vertical="center"/>
    </xf>
    <xf numFmtId="0" fontId="4" fillId="0" borderId="5" xfId="44" applyFont="1" applyBorder="1" applyAlignment="1">
      <alignment horizontal="center"/>
    </xf>
    <xf numFmtId="0" fontId="4" fillId="0" borderId="6" xfId="44" applyFont="1" applyBorder="1" applyAlignment="1">
      <alignment horizontal="center"/>
    </xf>
    <xf numFmtId="0" fontId="4" fillId="0" borderId="7" xfId="0" applyFont="1" applyBorder="1" applyAlignment="1">
      <alignment wrapText="1"/>
    </xf>
    <xf numFmtId="0" fontId="4" fillId="0" borderId="8" xfId="44" applyFont="1" applyBorder="1" applyAlignment="1">
      <alignment vertical="center"/>
    </xf>
    <xf numFmtId="1" fontId="4" fillId="0" borderId="9" xfId="44" applyNumberFormat="1" applyFont="1" applyBorder="1" applyAlignment="1">
      <alignment horizontal="right" vertical="center"/>
    </xf>
    <xf numFmtId="1" fontId="4" fillId="0" borderId="10" xfId="44" applyNumberFormat="1" applyFont="1" applyBorder="1" applyAlignment="1">
      <alignment horizontal="right" vertical="center"/>
    </xf>
    <xf numFmtId="0" fontId="4" fillId="0" borderId="11" xfId="0" applyFont="1" applyBorder="1" applyAlignment="1">
      <alignment wrapText="1"/>
    </xf>
    <xf numFmtId="0" fontId="4" fillId="0" borderId="16" xfId="0" applyFont="1" applyBorder="1"/>
    <xf numFmtId="3" fontId="4" fillId="0" borderId="16" xfId="8" applyNumberFormat="1" applyFont="1" applyFill="1" applyBorder="1" applyAlignment="1"/>
    <xf numFmtId="9" fontId="4" fillId="0" borderId="12" xfId="12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9" fontId="4" fillId="0" borderId="12" xfId="12" applyFont="1" applyFill="1" applyBorder="1" applyAlignment="1">
      <alignment horizontal="right"/>
    </xf>
    <xf numFmtId="0" fontId="4" fillId="0" borderId="1" xfId="0" applyFont="1" applyBorder="1"/>
    <xf numFmtId="3" fontId="4" fillId="0" borderId="1" xfId="8" applyNumberFormat="1" applyFont="1" applyFill="1" applyBorder="1" applyAlignment="1"/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11" xfId="0" applyFont="1" applyBorder="1" applyAlignment="1">
      <alignment horizontal="left"/>
    </xf>
    <xf numFmtId="3" fontId="4" fillId="0" borderId="17" xfId="0" applyNumberFormat="1" applyFont="1" applyBorder="1" applyAlignment="1">
      <alignment horizontal="right"/>
    </xf>
    <xf numFmtId="9" fontId="4" fillId="0" borderId="3" xfId="12" applyFont="1" applyBorder="1" applyAlignment="1">
      <alignment horizontal="right"/>
    </xf>
    <xf numFmtId="0" fontId="4" fillId="0" borderId="14" xfId="0" applyFont="1" applyBorder="1"/>
    <xf numFmtId="3" fontId="4" fillId="0" borderId="15" xfId="0" applyNumberFormat="1" applyFont="1" applyBorder="1" applyAlignment="1">
      <alignment horizontal="right"/>
    </xf>
    <xf numFmtId="0" fontId="4" fillId="2" borderId="4" xfId="44" applyFont="1" applyFill="1" applyBorder="1" applyAlignment="1">
      <alignment vertical="center"/>
    </xf>
    <xf numFmtId="0" fontId="4" fillId="2" borderId="6" xfId="44" applyFont="1" applyFill="1" applyBorder="1" applyAlignment="1">
      <alignment horizontal="center" vertical="center"/>
    </xf>
    <xf numFmtId="0" fontId="4" fillId="2" borderId="18" xfId="44" applyFont="1" applyFill="1" applyBorder="1" applyAlignment="1">
      <alignment horizontal="center" vertical="center"/>
    </xf>
    <xf numFmtId="0" fontId="4" fillId="2" borderId="4" xfId="44" applyFont="1" applyFill="1" applyBorder="1" applyAlignment="1">
      <alignment horizontal="center" vertical="center"/>
    </xf>
    <xf numFmtId="0" fontId="4" fillId="0" borderId="7" xfId="0" applyFont="1" applyBorder="1" applyAlignment="1">
      <alignment horizontal="right" wrapText="1"/>
    </xf>
    <xf numFmtId="0" fontId="4" fillId="2" borderId="8" xfId="44" applyFont="1" applyFill="1" applyBorder="1" applyAlignment="1">
      <alignment vertical="center"/>
    </xf>
    <xf numFmtId="0" fontId="4" fillId="0" borderId="11" xfId="0" applyFont="1" applyBorder="1" applyAlignment="1">
      <alignment horizontal="right" wrapText="1"/>
    </xf>
    <xf numFmtId="0" fontId="4" fillId="2" borderId="16" xfId="0" applyFont="1" applyFill="1" applyBorder="1"/>
    <xf numFmtId="181" fontId="4" fillId="2" borderId="16" xfId="8" applyNumberFormat="1" applyFont="1" applyFill="1" applyBorder="1" applyAlignment="1"/>
    <xf numFmtId="9" fontId="4" fillId="0" borderId="19" xfId="12" applyFont="1" applyBorder="1" applyAlignment="1">
      <alignment horizontal="right"/>
    </xf>
    <xf numFmtId="0" fontId="4" fillId="2" borderId="1" xfId="0" applyFont="1" applyFill="1" applyBorder="1"/>
    <xf numFmtId="181" fontId="4" fillId="2" borderId="1" xfId="8" applyNumberFormat="1" applyFont="1" applyFill="1" applyBorder="1" applyAlignment="1"/>
    <xf numFmtId="0" fontId="4" fillId="0" borderId="1" xfId="0" applyFont="1" applyBorder="1" applyAlignment="1">
      <alignment horizontal="right"/>
    </xf>
    <xf numFmtId="181" fontId="4" fillId="0" borderId="1" xfId="8" applyNumberFormat="1" applyFont="1" applyFill="1" applyBorder="1" applyAlignment="1"/>
    <xf numFmtId="9" fontId="4" fillId="0" borderId="19" xfId="12" applyFont="1" applyFill="1" applyBorder="1" applyAlignment="1">
      <alignment horizontal="right"/>
    </xf>
    <xf numFmtId="181" fontId="4" fillId="0" borderId="2" xfId="8" applyNumberFormat="1" applyFont="1" applyFill="1" applyBorder="1" applyAlignment="1"/>
    <xf numFmtId="181" fontId="4" fillId="0" borderId="1" xfId="8" applyNumberFormat="1" applyFont="1" applyBorder="1"/>
    <xf numFmtId="181" fontId="4" fillId="0" borderId="1" xfId="8" applyNumberFormat="1" applyFont="1" applyBorder="1" applyAlignment="1">
      <alignment horizontal="right"/>
    </xf>
    <xf numFmtId="0" fontId="4" fillId="0" borderId="17" xfId="0" applyFont="1" applyBorder="1" applyAlignment="1">
      <alignment horizontal="left"/>
    </xf>
    <xf numFmtId="181" fontId="4" fillId="0" borderId="17" xfId="8" applyNumberFormat="1" applyFont="1" applyBorder="1" applyAlignment="1">
      <alignment horizontal="right"/>
    </xf>
    <xf numFmtId="181" fontId="4" fillId="0" borderId="11" xfId="8" applyNumberFormat="1" applyFont="1" applyBorder="1" applyAlignment="1">
      <alignment horizontal="right"/>
    </xf>
    <xf numFmtId="9" fontId="4" fillId="0" borderId="10" xfId="12" applyFont="1" applyBorder="1" applyAlignment="1">
      <alignment horizontal="right"/>
    </xf>
    <xf numFmtId="181" fontId="4" fillId="0" borderId="16" xfId="8" applyNumberFormat="1" applyFont="1" applyFill="1" applyBorder="1" applyAlignment="1"/>
    <xf numFmtId="181" fontId="4" fillId="0" borderId="19" xfId="8" applyNumberFormat="1" applyFont="1" applyFill="1" applyBorder="1" applyAlignment="1"/>
    <xf numFmtId="0" fontId="4" fillId="0" borderId="5" xfId="44" applyFont="1" applyBorder="1" applyAlignment="1">
      <alignment horizontal="center" vertical="center"/>
    </xf>
    <xf numFmtId="0" fontId="4" fillId="0" borderId="6" xfId="44" applyFont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20" xfId="0" applyFont="1" applyBorder="1"/>
    <xf numFmtId="176" fontId="4" fillId="0" borderId="20" xfId="8" applyNumberFormat="1" applyFont="1" applyFill="1" applyBorder="1" applyAlignment="1"/>
    <xf numFmtId="9" fontId="4" fillId="0" borderId="17" xfId="12" applyFont="1" applyFill="1" applyBorder="1" applyAlignment="1">
      <alignment horizontal="right"/>
    </xf>
    <xf numFmtId="176" fontId="4" fillId="0" borderId="0" xfId="8" applyNumberFormat="1" applyFont="1" applyFill="1" applyBorder="1" applyAlignment="1"/>
    <xf numFmtId="9" fontId="4" fillId="0" borderId="0" xfId="12" applyFont="1" applyFill="1" applyBorder="1" applyAlignment="1">
      <alignment horizontal="right"/>
    </xf>
    <xf numFmtId="0" fontId="4" fillId="0" borderId="21" xfId="0" applyFont="1" applyBorder="1"/>
    <xf numFmtId="176" fontId="4" fillId="0" borderId="21" xfId="8" applyNumberFormat="1" applyFont="1" applyFill="1" applyBorder="1" applyAlignment="1"/>
    <xf numFmtId="9" fontId="4" fillId="0" borderId="11" xfId="12" applyFont="1" applyFill="1" applyBorder="1" applyAlignment="1">
      <alignment horizontal="right"/>
    </xf>
    <xf numFmtId="181" fontId="2" fillId="0" borderId="0" xfId="0" applyNumberFormat="1" applyFont="1" applyAlignment="1">
      <alignment horizontal="right"/>
    </xf>
    <xf numFmtId="0" fontId="5" fillId="0" borderId="1" xfId="0" applyFont="1" applyBorder="1"/>
    <xf numFmtId="0" fontId="2" fillId="0" borderId="22" xfId="0" applyFont="1" applyBorder="1" applyAlignment="1">
      <alignment horizontal="right" wrapText="1"/>
    </xf>
    <xf numFmtId="0" fontId="2" fillId="0" borderId="23" xfId="0" applyFont="1" applyBorder="1" applyAlignment="1">
      <alignment horizontal="right" wrapText="1"/>
    </xf>
    <xf numFmtId="9" fontId="2" fillId="0" borderId="24" xfId="12" applyFont="1" applyBorder="1" applyAlignment="1">
      <alignment horizontal="right"/>
    </xf>
    <xf numFmtId="9" fontId="4" fillId="0" borderId="25" xfId="12" applyFont="1" applyBorder="1" applyAlignment="1">
      <alignment horizontal="right"/>
    </xf>
    <xf numFmtId="9" fontId="4" fillId="0" borderId="14" xfId="12" applyFont="1" applyBorder="1" applyAlignment="1">
      <alignment horizontal="right"/>
    </xf>
    <xf numFmtId="0" fontId="4" fillId="0" borderId="22" xfId="0" applyFont="1" applyBorder="1" applyAlignment="1">
      <alignment wrapText="1"/>
    </xf>
    <xf numFmtId="0" fontId="4" fillId="0" borderId="23" xfId="0" applyFont="1" applyBorder="1" applyAlignment="1">
      <alignment wrapText="1"/>
    </xf>
    <xf numFmtId="3" fontId="2" fillId="0" borderId="16" xfId="15" applyNumberFormat="1" applyFont="1" applyFill="1" applyBorder="1" applyAlignment="1"/>
    <xf numFmtId="180" fontId="2" fillId="0" borderId="1" xfId="0" applyNumberFormat="1" applyFont="1" applyBorder="1"/>
    <xf numFmtId="3" fontId="2" fillId="0" borderId="1" xfId="15" applyNumberFormat="1" applyFont="1" applyFill="1" applyBorder="1" applyAlignment="1"/>
    <xf numFmtId="3" fontId="2" fillId="0" borderId="1" xfId="0" applyNumberFormat="1" applyFont="1" applyBorder="1" applyAlignment="1">
      <alignment horizontal="right"/>
    </xf>
    <xf numFmtId="3" fontId="2" fillId="0" borderId="17" xfId="0" applyNumberFormat="1" applyFont="1" applyBorder="1" applyAlignment="1">
      <alignment horizontal="right"/>
    </xf>
    <xf numFmtId="0" fontId="4" fillId="0" borderId="22" xfId="0" applyFont="1" applyBorder="1" applyAlignment="1">
      <alignment horizontal="right" wrapText="1"/>
    </xf>
    <xf numFmtId="0" fontId="4" fillId="0" borderId="23" xfId="0" applyFont="1" applyBorder="1" applyAlignment="1">
      <alignment horizontal="right" wrapText="1"/>
    </xf>
    <xf numFmtId="9" fontId="4" fillId="0" borderId="9" xfId="12" applyFont="1" applyBorder="1" applyAlignment="1">
      <alignment horizontal="right"/>
    </xf>
    <xf numFmtId="0" fontId="4" fillId="0" borderId="19" xfId="0" applyFont="1" applyBorder="1"/>
    <xf numFmtId="0" fontId="4" fillId="0" borderId="22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9" fontId="4" fillId="0" borderId="3" xfId="12" applyFont="1" applyFill="1" applyBorder="1" applyAlignment="1">
      <alignment horizontal="right"/>
    </xf>
    <xf numFmtId="9" fontId="4" fillId="0" borderId="21" xfId="12" applyFont="1" applyFill="1" applyBorder="1" applyAlignment="1">
      <alignment horizontal="right"/>
    </xf>
    <xf numFmtId="0" fontId="6" fillId="0" borderId="0" xfId="0" applyFont="1"/>
    <xf numFmtId="1" fontId="6" fillId="3" borderId="0" xfId="0" applyNumberFormat="1" applyFont="1" applyFill="1"/>
    <xf numFmtId="1" fontId="6" fillId="4" borderId="0" xfId="0" applyNumberFormat="1" applyFont="1" applyFill="1"/>
    <xf numFmtId="0" fontId="0" fillId="0" borderId="26" xfId="0" applyBorder="1"/>
    <xf numFmtId="1" fontId="6" fillId="4" borderId="26" xfId="0" applyNumberFormat="1" applyFont="1" applyFill="1" applyBorder="1"/>
    <xf numFmtId="1" fontId="0" fillId="0" borderId="26" xfId="0" applyNumberFormat="1" applyBorder="1"/>
    <xf numFmtId="0" fontId="7" fillId="0" borderId="0" xfId="0" applyFont="1"/>
    <xf numFmtId="180" fontId="6" fillId="4" borderId="0" xfId="0" applyNumberFormat="1" applyFont="1" applyFill="1"/>
    <xf numFmtId="179" fontId="0" fillId="0" borderId="0" xfId="0" applyNumberFormat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" fontId="0" fillId="0" borderId="27" xfId="0" applyNumberFormat="1" applyBorder="1" applyAlignment="1">
      <alignment horizontal="center"/>
    </xf>
    <xf numFmtId="0" fontId="8" fillId="0" borderId="28" xfId="0" applyFont="1" applyBorder="1"/>
    <xf numFmtId="0" fontId="0" fillId="0" borderId="28" xfId="0" applyBorder="1"/>
    <xf numFmtId="0" fontId="0" fillId="4" borderId="28" xfId="0" applyFill="1" applyBorder="1"/>
    <xf numFmtId="179" fontId="0" fillId="4" borderId="28" xfId="0" applyNumberFormat="1" applyFill="1" applyBorder="1"/>
    <xf numFmtId="1" fontId="0" fillId="4" borderId="28" xfId="0" applyNumberFormat="1" applyFill="1" applyBorder="1"/>
    <xf numFmtId="0" fontId="0" fillId="5" borderId="28" xfId="0" applyFill="1" applyBorder="1"/>
    <xf numFmtId="179" fontId="0" fillId="5" borderId="28" xfId="0" applyNumberFormat="1" applyFill="1" applyBorder="1"/>
    <xf numFmtId="1" fontId="0" fillId="5" borderId="28" xfId="0" applyNumberFormat="1" applyFill="1" applyBorder="1"/>
    <xf numFmtId="0" fontId="0" fillId="2" borderId="0" xfId="0" applyFill="1" applyAlignment="1">
      <alignment vertical="center"/>
    </xf>
    <xf numFmtId="0" fontId="8" fillId="2" borderId="0" xfId="0" applyFont="1" applyFill="1"/>
    <xf numFmtId="0" fontId="0" fillId="2" borderId="0" xfId="0" applyFill="1"/>
    <xf numFmtId="0" fontId="0" fillId="2" borderId="0" xfId="0" applyFill="1" applyAlignment="1">
      <alignment wrapText="1"/>
    </xf>
    <xf numFmtId="0" fontId="9" fillId="0" borderId="28" xfId="0" applyFont="1" applyBorder="1" applyAlignment="1">
      <alignment horizontal="center"/>
    </xf>
    <xf numFmtId="0" fontId="10" fillId="0" borderId="28" xfId="0" applyFont="1" applyBorder="1" applyAlignment="1">
      <alignment horizontal="center" wrapText="1"/>
    </xf>
    <xf numFmtId="0" fontId="0" fillId="2" borderId="0" xfId="0" applyFill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8" xfId="0" applyFont="1" applyBorder="1" applyAlignment="1">
      <alignment vertical="center"/>
    </xf>
    <xf numFmtId="0" fontId="8" fillId="0" borderId="28" xfId="0" applyFont="1" applyBorder="1" applyAlignment="1">
      <alignment wrapText="1"/>
    </xf>
    <xf numFmtId="182" fontId="0" fillId="4" borderId="28" xfId="0" applyNumberFormat="1" applyFill="1" applyBorder="1" applyProtection="1">
      <protection locked="0"/>
    </xf>
    <xf numFmtId="3" fontId="0" fillId="6" borderId="28" xfId="0" applyNumberFormat="1" applyFill="1" applyBorder="1" applyProtection="1">
      <protection locked="0"/>
    </xf>
    <xf numFmtId="180" fontId="0" fillId="4" borderId="28" xfId="0" applyNumberFormat="1" applyFill="1" applyBorder="1" applyProtection="1">
      <protection locked="0"/>
    </xf>
    <xf numFmtId="0" fontId="8" fillId="2" borderId="0" xfId="0" applyFont="1" applyFill="1" applyAlignment="1">
      <alignment wrapText="1"/>
    </xf>
    <xf numFmtId="3" fontId="0" fillId="7" borderId="28" xfId="0" applyNumberFormat="1" applyFill="1" applyBorder="1"/>
    <xf numFmtId="0" fontId="8" fillId="2" borderId="0" xfId="0" applyFont="1" applyFill="1" applyAlignment="1" applyProtection="1">
      <alignment wrapText="1"/>
      <protection locked="0"/>
    </xf>
    <xf numFmtId="0" fontId="8" fillId="2" borderId="0" xfId="0" applyFont="1" applyFill="1" applyProtection="1">
      <protection locked="0"/>
    </xf>
    <xf numFmtId="1" fontId="8" fillId="2" borderId="0" xfId="0" applyNumberFormat="1" applyFont="1" applyFill="1" applyProtection="1">
      <protection locked="0"/>
    </xf>
    <xf numFmtId="0" fontId="8" fillId="3" borderId="29" xfId="0" applyFont="1" applyFill="1" applyBorder="1" applyAlignment="1" applyProtection="1">
      <alignment horizontal="right"/>
      <protection locked="0"/>
    </xf>
    <xf numFmtId="180" fontId="0" fillId="3" borderId="29" xfId="0" applyNumberFormat="1" applyFill="1" applyBorder="1" applyProtection="1">
      <protection locked="0"/>
    </xf>
    <xf numFmtId="179" fontId="8" fillId="3" borderId="29" xfId="0" applyNumberFormat="1" applyFont="1" applyFill="1" applyBorder="1" applyProtection="1">
      <protection locked="0"/>
    </xf>
    <xf numFmtId="180" fontId="8" fillId="3" borderId="29" xfId="0" applyNumberFormat="1" applyFont="1" applyFill="1" applyBorder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3" borderId="29" xfId="0" applyFill="1" applyBorder="1" applyProtection="1">
      <protection locked="0"/>
    </xf>
    <xf numFmtId="180" fontId="0" fillId="2" borderId="0" xfId="0" applyNumberFormat="1" applyFill="1"/>
    <xf numFmtId="0" fontId="0" fillId="4" borderId="28" xfId="0" applyFill="1" applyBorder="1" applyProtection="1">
      <protection locked="0"/>
    </xf>
    <xf numFmtId="3" fontId="0" fillId="4" borderId="28" xfId="0" applyNumberFormat="1" applyFill="1" applyBorder="1" applyProtection="1">
      <protection locked="0"/>
    </xf>
    <xf numFmtId="180" fontId="0" fillId="8" borderId="28" xfId="0" applyNumberFormat="1" applyFill="1" applyBorder="1" applyProtection="1">
      <protection locked="0"/>
    </xf>
    <xf numFmtId="180" fontId="0" fillId="5" borderId="28" xfId="0" applyNumberFormat="1" applyFill="1" applyBorder="1"/>
    <xf numFmtId="0" fontId="0" fillId="2" borderId="0" xfId="0" applyFill="1" applyAlignment="1">
      <alignment horizontal="right"/>
    </xf>
    <xf numFmtId="3" fontId="0" fillId="5" borderId="28" xfId="0" applyNumberFormat="1" applyFill="1" applyBorder="1"/>
    <xf numFmtId="180" fontId="0" fillId="3" borderId="29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0" fillId="2" borderId="0" xfId="0" applyNumberFormat="1" applyFill="1"/>
    <xf numFmtId="0" fontId="11" fillId="2" borderId="0" xfId="0" applyFont="1" applyFill="1" applyAlignment="1">
      <alignment horizontal="right"/>
    </xf>
    <xf numFmtId="0" fontId="11" fillId="4" borderId="28" xfId="0" applyFont="1" applyFill="1" applyBorder="1" applyAlignment="1" applyProtection="1">
      <alignment horizontal="center"/>
      <protection locked="0"/>
    </xf>
    <xf numFmtId="0" fontId="12" fillId="2" borderId="0" xfId="0" applyFont="1" applyFill="1" applyAlignment="1">
      <alignment wrapText="1"/>
    </xf>
    <xf numFmtId="0" fontId="12" fillId="2" borderId="0" xfId="0" applyFont="1" applyFill="1"/>
    <xf numFmtId="180" fontId="0" fillId="4" borderId="28" xfId="0" applyNumberFormat="1" applyFill="1" applyBorder="1"/>
    <xf numFmtId="180" fontId="8" fillId="3" borderId="29" xfId="0" applyNumberFormat="1" applyFont="1" applyFill="1" applyBorder="1"/>
    <xf numFmtId="0" fontId="13" fillId="2" borderId="0" xfId="0" applyFont="1" applyFill="1"/>
    <xf numFmtId="0" fontId="13" fillId="4" borderId="28" xfId="0" applyFont="1" applyFill="1" applyBorder="1" applyAlignment="1">
      <alignment horizontal="center"/>
    </xf>
    <xf numFmtId="0" fontId="13" fillId="9" borderId="28" xfId="0" applyFont="1" applyFill="1" applyBorder="1"/>
    <xf numFmtId="0" fontId="13" fillId="10" borderId="28" xfId="0" applyFont="1" applyFill="1" applyBorder="1"/>
    <xf numFmtId="0" fontId="13" fillId="11" borderId="28" xfId="0" applyFont="1" applyFill="1" applyBorder="1"/>
    <xf numFmtId="0" fontId="13" fillId="12" borderId="28" xfId="0" applyFont="1" applyFill="1" applyBorder="1"/>
    <xf numFmtId="0" fontId="13" fillId="13" borderId="28" xfId="0" applyFont="1" applyFill="1" applyBorder="1"/>
    <xf numFmtId="0" fontId="13" fillId="14" borderId="28" xfId="0" applyFont="1" applyFill="1" applyBorder="1"/>
    <xf numFmtId="0" fontId="13" fillId="15" borderId="28" xfId="0" applyFont="1" applyFill="1" applyBorder="1"/>
    <xf numFmtId="0" fontId="13" fillId="2" borderId="0" xfId="0" applyFont="1" applyFill="1" quotePrefix="1"/>
    <xf numFmtId="0" fontId="12" fillId="2" borderId="0" xfId="0" applyFont="1" applyFill="1" applyAlignment="1" quotePrefix="1">
      <alignment wrapText="1"/>
    </xf>
    <xf numFmtId="0" fontId="8" fillId="0" borderId="28" xfId="0" applyFont="1" applyBorder="1" applyAlignment="1" quotePrefix="1">
      <alignment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Comma 3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Comma 2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Normal 2" xfId="44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Currency 2" xfId="52"/>
  </cellStyles>
  <dxfs count="534"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0" formatCode="General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0" formatCode="General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0" formatCode="General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0" formatCode="General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0" formatCode="General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80" formatCode="0.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0" formatCode="General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0" formatCode="General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79" formatCode="0.00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haredStrings" Target="sharedStrings.xml"/><Relationship Id="rId31" Type="http://schemas.openxmlformats.org/officeDocument/2006/relationships/styles" Target="style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customXml" Target="../customXml/item4.xml"/><Relationship Id="rId28" Type="http://schemas.openxmlformats.org/officeDocument/2006/relationships/customXml" Target="../customXml/item3.xml"/><Relationship Id="rId27" Type="http://schemas.openxmlformats.org/officeDocument/2006/relationships/customXml" Target="../customXml/item2.xml"/><Relationship Id="rId26" Type="http://schemas.openxmlformats.org/officeDocument/2006/relationships/customXml" Target="../customXml/item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Primary</a:t>
            </a:r>
            <a:r>
              <a:rPr lang="en-GB" baseline="0"/>
              <a:t> - e</a:t>
            </a:r>
            <a:r>
              <a:rPr lang="en-GB"/>
              <a:t>lectricity</a:t>
            </a:r>
            <a:r>
              <a:rPr lang="en-GB" baseline="0"/>
              <a:t> split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673193112331564"/>
          <c:y val="0.0904860946183117"/>
          <c:w val="0.918441208017613"/>
          <c:h val="0.807492197526211"/>
        </c:manualLayout>
      </c:layout>
      <c:lineChart>
        <c:grouping val="standard"/>
        <c:varyColors val="0"/>
        <c:ser>
          <c:idx val="0"/>
          <c:order val="0"/>
          <c:tx>
            <c:strRef>
              <c:f>'Primary (100% electrolytic)'!$C$12</c:f>
              <c:strCache>
                <c:ptCount val="1"/>
                <c:pt idx="0">
                  <c:v>Entity Electricity Emissions Intensity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numRef>
              <c:f>'Primary (100% electrolytic)'!$F$11:$AN$11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'Primary (100% electrolytic)'!$F$12:$AN$12</c:f>
              <c:numCache>
                <c:formatCode>0.0</c:formatCode>
                <c:ptCount val="35"/>
              </c:numCache>
            </c:numRef>
          </c:val>
          <c:smooth val="0"/>
        </c:ser>
        <c:ser>
          <c:idx val="1"/>
          <c:order val="1"/>
          <c:tx>
            <c:strRef>
              <c:f>'Primary (100% electrolytic)'!$C$13</c:f>
              <c:strCache>
                <c:ptCount val="1"/>
                <c:pt idx="0">
                  <c:v>Entity Non-Electricity Emissions Intensity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elete val="1"/>
          </c:dLbls>
          <c:cat>
            <c:numRef>
              <c:f>'Primary (100% electrolytic)'!$F$11:$AN$11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'Primary (100% electrolytic)'!$F$13:$AN$13</c:f>
              <c:numCache>
                <c:formatCode>0.0</c:formatCode>
                <c:ptCount val="35"/>
              </c:numCache>
            </c:numRef>
          </c:val>
          <c:smooth val="0"/>
        </c:ser>
        <c:ser>
          <c:idx val="2"/>
          <c:order val="2"/>
          <c:tx>
            <c:strRef>
              <c:f>'Primary Archetype Data Tables'!$A$2</c:f>
              <c:strCache>
                <c:ptCount val="1"/>
                <c:pt idx="0">
                  <c:v>Primary Sectoral Electricity (IAI/MPP)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'Primary (100% electrolytic)'!$F$11:$AN$11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'Primary Archetype Data Tables'!$B$2:$AJ$2</c:f>
              <c:numCache>
                <c:formatCode>0.0</c:formatCode>
                <c:ptCount val="35"/>
                <c:pt idx="0">
                  <c:v>10.6898938361111</c:v>
                </c:pt>
                <c:pt idx="1">
                  <c:v>10.6898938361111</c:v>
                </c:pt>
                <c:pt idx="2">
                  <c:v>10.6898938361111</c:v>
                </c:pt>
                <c:pt idx="3">
                  <c:v>10.4029710873508</c:v>
                </c:pt>
                <c:pt idx="4">
                  <c:v>9.70931860853106</c:v>
                </c:pt>
                <c:pt idx="5">
                  <c:v>9.91023047214493</c:v>
                </c:pt>
                <c:pt idx="6">
                  <c:v>9.555753284042</c:v>
                </c:pt>
                <c:pt idx="7">
                  <c:v>8.98692934439453</c:v>
                </c:pt>
                <c:pt idx="8">
                  <c:v>8.68792004818036</c:v>
                </c:pt>
                <c:pt idx="9">
                  <c:v>8.36850139210911</c:v>
                </c:pt>
                <c:pt idx="10">
                  <c:v>8.14401359843703</c:v>
                </c:pt>
                <c:pt idx="11">
                  <c:v>8.11926984679687</c:v>
                </c:pt>
                <c:pt idx="12">
                  <c:v>7.7131872084755</c:v>
                </c:pt>
                <c:pt idx="13">
                  <c:v>7.30439733459349</c:v>
                </c:pt>
                <c:pt idx="14">
                  <c:v>6.95278167949055</c:v>
                </c:pt>
                <c:pt idx="15">
                  <c:v>5.6703101343909</c:v>
                </c:pt>
                <c:pt idx="16">
                  <c:v>4.05851782936489</c:v>
                </c:pt>
                <c:pt idx="17">
                  <c:v>3.61781471531621</c:v>
                </c:pt>
                <c:pt idx="18">
                  <c:v>2.42041843356906</c:v>
                </c:pt>
                <c:pt idx="19">
                  <c:v>1.60383641760474</c:v>
                </c:pt>
                <c:pt idx="20">
                  <c:v>1.46274931362396</c:v>
                </c:pt>
                <c:pt idx="21">
                  <c:v>1.25832695303967</c:v>
                </c:pt>
                <c:pt idx="22">
                  <c:v>1.10321399544997</c:v>
                </c:pt>
                <c:pt idx="23">
                  <c:v>0.955204316970583</c:v>
                </c:pt>
                <c:pt idx="24">
                  <c:v>0.991299044176466</c:v>
                </c:pt>
                <c:pt idx="25">
                  <c:v>0.960912029857158</c:v>
                </c:pt>
                <c:pt idx="26">
                  <c:v>0.942648824084369</c:v>
                </c:pt>
                <c:pt idx="27">
                  <c:v>0.815974874428514</c:v>
                </c:pt>
                <c:pt idx="28">
                  <c:v>0.794499385469056</c:v>
                </c:pt>
                <c:pt idx="29">
                  <c:v>0.769890990538606</c:v>
                </c:pt>
                <c:pt idx="30">
                  <c:v>0.728824061409053</c:v>
                </c:pt>
                <c:pt idx="31">
                  <c:v>0.710955116586777</c:v>
                </c:pt>
                <c:pt idx="32">
                  <c:v>0.69308617172282</c:v>
                </c:pt>
                <c:pt idx="33">
                  <c:v>0.675217226885267</c:v>
                </c:pt>
                <c:pt idx="34">
                  <c:v>0.657348282961039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'Primary Archetype Data Tables'!$A$3</c:f>
              <c:strCache>
                <c:ptCount val="1"/>
                <c:pt idx="0">
                  <c:v>Primary Sectoral Non-Electricity (IAI/MPP)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'Primary (100% electrolytic)'!$F$11:$AN$11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'Primary Archetype Data Tables'!$B$3:$AJ$3</c:f>
              <c:numCache>
                <c:formatCode>0.0</c:formatCode>
                <c:ptCount val="35"/>
                <c:pt idx="0">
                  <c:v>4.84481860719707</c:v>
                </c:pt>
                <c:pt idx="1">
                  <c:v>4.84481860719707</c:v>
                </c:pt>
                <c:pt idx="2">
                  <c:v>4.84481860719707</c:v>
                </c:pt>
                <c:pt idx="3">
                  <c:v>4.84481860719707</c:v>
                </c:pt>
                <c:pt idx="4">
                  <c:v>4.84481860719707</c:v>
                </c:pt>
                <c:pt idx="5">
                  <c:v>4.74088105564824</c:v>
                </c:pt>
                <c:pt idx="6">
                  <c:v>4.79427141120048</c:v>
                </c:pt>
                <c:pt idx="7">
                  <c:v>4.78066367000183</c:v>
                </c:pt>
                <c:pt idx="8">
                  <c:v>4.75249207684862</c:v>
                </c:pt>
                <c:pt idx="9">
                  <c:v>4.73605263302972</c:v>
                </c:pt>
                <c:pt idx="10">
                  <c:v>4.43001325114447</c:v>
                </c:pt>
                <c:pt idx="11">
                  <c:v>4.39036749568958</c:v>
                </c:pt>
                <c:pt idx="12">
                  <c:v>4.36174836769969</c:v>
                </c:pt>
                <c:pt idx="13">
                  <c:v>4.31978865774274</c:v>
                </c:pt>
                <c:pt idx="14">
                  <c:v>4.1385250146623</c:v>
                </c:pt>
                <c:pt idx="15">
                  <c:v>3.85972331140748</c:v>
                </c:pt>
                <c:pt idx="16">
                  <c:v>3.36530843034141</c:v>
                </c:pt>
                <c:pt idx="17">
                  <c:v>3.13433792305714</c:v>
                </c:pt>
                <c:pt idx="18">
                  <c:v>2.8717048243038</c:v>
                </c:pt>
                <c:pt idx="19">
                  <c:v>2.21691463338421</c:v>
                </c:pt>
                <c:pt idx="20">
                  <c:v>2.14442660962277</c:v>
                </c:pt>
                <c:pt idx="21">
                  <c:v>1.70442162757412</c:v>
                </c:pt>
                <c:pt idx="22">
                  <c:v>1.53252411105458</c:v>
                </c:pt>
                <c:pt idx="23">
                  <c:v>1.34038805904081</c:v>
                </c:pt>
                <c:pt idx="24">
                  <c:v>1.25114187611444</c:v>
                </c:pt>
                <c:pt idx="25">
                  <c:v>1.06949463573425</c:v>
                </c:pt>
                <c:pt idx="26">
                  <c:v>0.77814278786355</c:v>
                </c:pt>
                <c:pt idx="27">
                  <c:v>0.651232453804742</c:v>
                </c:pt>
                <c:pt idx="28">
                  <c:v>0.63076714776598</c:v>
                </c:pt>
                <c:pt idx="29">
                  <c:v>0.484336013719594</c:v>
                </c:pt>
                <c:pt idx="30">
                  <c:v>0.47769982547931</c:v>
                </c:pt>
                <c:pt idx="31">
                  <c:v>0.459794848565361</c:v>
                </c:pt>
                <c:pt idx="32">
                  <c:v>0.343610585964953</c:v>
                </c:pt>
                <c:pt idx="33">
                  <c:v>0.285834138780572</c:v>
                </c:pt>
                <c:pt idx="34">
                  <c:v>0.267636408002995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203040"/>
        <c:axId val="2053201120"/>
      </c:lineChart>
      <c:catAx>
        <c:axId val="205320304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1120"/>
        <c:crosses val="autoZero"/>
        <c:auto val="1"/>
        <c:lblAlgn val="ctr"/>
        <c:lblOffset val="100"/>
        <c:noMultiLvlLbl val="0"/>
      </c:catAx>
      <c:valAx>
        <c:axId val="205320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 CO2e/t Al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Aluminium Procurement (Scope 3, Cat. 1)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842911111111111"/>
          <c:y val="0.0807274074074074"/>
          <c:w val="0.907753555555556"/>
          <c:h val="0.766571523676026"/>
        </c:manualLayout>
      </c:layout>
      <c:lineChart>
        <c:grouping val="standard"/>
        <c:varyColors val="0"/>
        <c:ser>
          <c:idx val="0"/>
          <c:order val="0"/>
          <c:tx>
            <c:strRef>
              <c:f>"Entity Semis Procurement Slope"</c:f>
              <c:strCache>
                <c:ptCount val="1"/>
                <c:pt idx="0">
                  <c:v>Entity Semis Procurement Slope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numRef>
              <c:f>'Casthouse &amp; Post-CH Data Entry'!$D$17:$AL$17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'Casthouse &amp; Post-CH Data Entry'!$D$15:$AL$15</c:f>
              <c:numCache>
                <c:formatCode>0.0</c:formatCode>
                <c:ptCount val="35"/>
                <c:pt idx="7">
                  <c:v>16.09</c:v>
                </c:pt>
                <c:pt idx="8" c:formatCode="0.000">
                  <c:v>14.481</c:v>
                </c:pt>
                <c:pt idx="9" c:formatCode="0.000">
                  <c:v>13.0329</c:v>
                </c:pt>
                <c:pt idx="10" c:formatCode="0.000">
                  <c:v>11.72961</c:v>
                </c:pt>
                <c:pt idx="11" c:formatCode="0.000">
                  <c:v>10.556649</c:v>
                </c:pt>
                <c:pt idx="12" c:formatCode="0.000">
                  <c:v>9.5009841</c:v>
                </c:pt>
                <c:pt idx="13" c:formatCode="0.000">
                  <c:v>8.55088569</c:v>
                </c:pt>
                <c:pt idx="14" c:formatCode="0.000">
                  <c:v>7.695797121</c:v>
                </c:pt>
                <c:pt idx="15" c:formatCode="0.000">
                  <c:v>6.1566376968</c:v>
                </c:pt>
                <c:pt idx="16" c:formatCode="0.000">
                  <c:v>4.92531015744</c:v>
                </c:pt>
                <c:pt idx="17" c:formatCode="0.000">
                  <c:v>3.940248125952</c:v>
                </c:pt>
                <c:pt idx="18" c:formatCode="0.000">
                  <c:v>3.1521985007616</c:v>
                </c:pt>
                <c:pt idx="19" c:formatCode="0.000">
                  <c:v>2.52175880060928</c:v>
                </c:pt>
                <c:pt idx="20" c:formatCode="0.000">
                  <c:v>2.01740704048742</c:v>
                </c:pt>
                <c:pt idx="21" c:formatCode="0.000">
                  <c:v>1.61392563238994</c:v>
                </c:pt>
                <c:pt idx="22" c:formatCode="0.000">
                  <c:v>1.29114050591195</c:v>
                </c:pt>
                <c:pt idx="23" c:formatCode="0.000">
                  <c:v>1.03291240472956</c:v>
                </c:pt>
                <c:pt idx="24" c:formatCode="0.000">
                  <c:v>0.826329923783649</c:v>
                </c:pt>
                <c:pt idx="25" c:formatCode="0.000">
                  <c:v>0.702380435216102</c:v>
                </c:pt>
                <c:pt idx="26" c:formatCode="0.000">
                  <c:v>0.597023369933687</c:v>
                </c:pt>
                <c:pt idx="27" c:formatCode="0.000">
                  <c:v>0.507469864443634</c:v>
                </c:pt>
                <c:pt idx="28" c:formatCode="0.000">
                  <c:v>0.431349384777089</c:v>
                </c:pt>
                <c:pt idx="29" c:formatCode="0.000">
                  <c:v>0.366646977060525</c:v>
                </c:pt>
                <c:pt idx="30" c:formatCode="0.000">
                  <c:v>0.311649930501447</c:v>
                </c:pt>
                <c:pt idx="31" c:formatCode="0.000">
                  <c:v>0.26490244092623</c:v>
                </c:pt>
                <c:pt idx="32" c:formatCode="0.000">
                  <c:v>0.225167074787295</c:v>
                </c:pt>
                <c:pt idx="33" c:formatCode="0.000">
                  <c:v>0.191392013569201</c:v>
                </c:pt>
                <c:pt idx="34" c:formatCode="0.000">
                  <c:v>0.162683211533821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"Sector Semis Procurement"</c:f>
              <c:strCache>
                <c:ptCount val="1"/>
                <c:pt idx="0">
                  <c:v>Sector Semis Procurement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'Casthouse &amp; Post-CH Data Entry'!$D$17:$AL$17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'Semis Procurement Data Table'!$B$2:$AJ$2</c:f>
              <c:numCache>
                <c:formatCode>0.0</c:formatCode>
                <c:ptCount val="35"/>
                <c:pt idx="0">
                  <c:v>8.24867126054661</c:v>
                </c:pt>
                <c:pt idx="1">
                  <c:v>8.24867126054661</c:v>
                </c:pt>
                <c:pt idx="2">
                  <c:v>8.24867126054661</c:v>
                </c:pt>
                <c:pt idx="3">
                  <c:v>8.05492255946508</c:v>
                </c:pt>
                <c:pt idx="4">
                  <c:v>7.58652377493512</c:v>
                </c:pt>
                <c:pt idx="5">
                  <c:v>7.65200706994068</c:v>
                </c:pt>
                <c:pt idx="6">
                  <c:v>7.4486938681416</c:v>
                </c:pt>
                <c:pt idx="7">
                  <c:v>7.05539852254688</c:v>
                </c:pt>
                <c:pt idx="8">
                  <c:v>6.83446493464727</c:v>
                </c:pt>
                <c:pt idx="9">
                  <c:v>6.60767193589557</c:v>
                </c:pt>
                <c:pt idx="10">
                  <c:v>6.24942585189977</c:v>
                </c:pt>
                <c:pt idx="11">
                  <c:v>6.2059459137741</c:v>
                </c:pt>
                <c:pt idx="12">
                  <c:v>5.91240731167805</c:v>
                </c:pt>
                <c:pt idx="13">
                  <c:v>5.60803219064225</c:v>
                </c:pt>
                <c:pt idx="14">
                  <c:v>5.2481978021096</c:v>
                </c:pt>
                <c:pt idx="15">
                  <c:v>4.54573276493162</c:v>
                </c:pt>
                <c:pt idx="16">
                  <c:v>3.59808512487754</c:v>
                </c:pt>
                <c:pt idx="17">
                  <c:v>3.29587842539145</c:v>
                </c:pt>
                <c:pt idx="18">
                  <c:v>2.63896613016371</c:v>
                </c:pt>
                <c:pt idx="19">
                  <c:v>1.97695034714769</c:v>
                </c:pt>
                <c:pt idx="20">
                  <c:v>1.8493618397132</c:v>
                </c:pt>
                <c:pt idx="21">
                  <c:v>1.46438478894095</c:v>
                </c:pt>
                <c:pt idx="22">
                  <c:v>1.26903068217716</c:v>
                </c:pt>
                <c:pt idx="23">
                  <c:v>1.06582965159548</c:v>
                </c:pt>
                <c:pt idx="24">
                  <c:v>1.03407728897237</c:v>
                </c:pt>
                <c:pt idx="25">
                  <c:v>0.935544231059637</c:v>
                </c:pt>
                <c:pt idx="26">
                  <c:v>0.7916650354337</c:v>
                </c:pt>
                <c:pt idx="27">
                  <c:v>0.673823534076158</c:v>
                </c:pt>
                <c:pt idx="28">
                  <c:v>0.654333500315705</c:v>
                </c:pt>
                <c:pt idx="29">
                  <c:v>0.574850834470385</c:v>
                </c:pt>
                <c:pt idx="30">
                  <c:v>0.528495010203488</c:v>
                </c:pt>
                <c:pt idx="31">
                  <c:v>0.493731461807158</c:v>
                </c:pt>
                <c:pt idx="32">
                  <c:v>0.363464358308358</c:v>
                </c:pt>
                <c:pt idx="33">
                  <c:v>0.289955441228936</c:v>
                </c:pt>
                <c:pt idx="34">
                  <c:v>0.254907408174699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203040"/>
        <c:axId val="2053201120"/>
      </c:lineChart>
      <c:catAx>
        <c:axId val="205320304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1120"/>
        <c:crosses val="autoZero"/>
        <c:auto val="1"/>
        <c:lblAlgn val="ctr"/>
        <c:lblOffset val="100"/>
        <c:noMultiLvlLbl val="0"/>
      </c:catAx>
      <c:valAx>
        <c:axId val="205320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 CO2e/t Al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200"/>
      </a:pPr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Aluminium Procurement (Scope 3, Cat. 1)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842911111111111"/>
          <c:y val="0.0807274074074074"/>
          <c:w val="0.907753555555556"/>
          <c:h val="0.768661192173978"/>
        </c:manualLayout>
      </c:layout>
      <c:lineChart>
        <c:grouping val="standard"/>
        <c:varyColors val="0"/>
        <c:ser>
          <c:idx val="4"/>
          <c:order val="0"/>
          <c:tx>
            <c:strRef>
              <c:f>"Entity Fab Procurement Slope"</c:f>
              <c:strCache>
                <c:ptCount val="1"/>
                <c:pt idx="0">
                  <c:v>Entity Fab Procurement Slope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numRef>
              <c:f>'Casthouse &amp; Post-CH Data Entry'!$D$17:$AL$17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'Casthouse &amp; Post-CH Data Entry'!$D$18:$AL$18</c:f>
              <c:numCache>
                <c:formatCode>0.0</c:formatCode>
                <c:ptCount val="35"/>
              </c:numCache>
            </c:numRef>
          </c:val>
          <c:smooth val="0"/>
        </c:ser>
        <c:ser>
          <c:idx val="5"/>
          <c:order val="1"/>
          <c:tx>
            <c:strRef>
              <c:f>"Sector Fabrication Procurement"</c:f>
              <c:strCache>
                <c:ptCount val="1"/>
                <c:pt idx="0">
                  <c:v>Sector Fabrication Procurement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'Casthouse &amp; Post-CH Data Entry'!$D$17:$AL$17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'Post-Semis Proc''ment Data Table'!$B$2:$AJ$2</c:f>
              <c:numCache>
                <c:formatCode>0.0</c:formatCode>
                <c:ptCount val="35"/>
                <c:pt idx="0">
                  <c:v>11.5101208019133</c:v>
                </c:pt>
                <c:pt idx="1">
                  <c:v>11.5101208019133</c:v>
                </c:pt>
                <c:pt idx="2">
                  <c:v>11.5101208019133</c:v>
                </c:pt>
                <c:pt idx="3">
                  <c:v>11.2110291879589</c:v>
                </c:pt>
                <c:pt idx="4">
                  <c:v>10.487957767829</c:v>
                </c:pt>
                <c:pt idx="5">
                  <c:v>10.5890449197992</c:v>
                </c:pt>
                <c:pt idx="6">
                  <c:v>10.275188499989</c:v>
                </c:pt>
                <c:pt idx="7">
                  <c:v>9.6680549346126</c:v>
                </c:pt>
                <c:pt idx="8">
                  <c:v>9.32699776616313</c:v>
                </c:pt>
                <c:pt idx="9">
                  <c:v>8.97689537243579</c:v>
                </c:pt>
                <c:pt idx="10">
                  <c:v>8.42386766769748</c:v>
                </c:pt>
                <c:pt idx="11">
                  <c:v>8.35674729581342</c:v>
                </c:pt>
                <c:pt idx="12">
                  <c:v>7.90360911337016</c:v>
                </c:pt>
                <c:pt idx="13">
                  <c:v>7.43374249909099</c:v>
                </c:pt>
                <c:pt idx="14">
                  <c:v>6.87826291434148</c:v>
                </c:pt>
                <c:pt idx="15">
                  <c:v>5.98136566339865</c:v>
                </c:pt>
                <c:pt idx="16">
                  <c:v>4.77142279330014</c:v>
                </c:pt>
                <c:pt idx="17">
                  <c:v>4.385569628174</c:v>
                </c:pt>
                <c:pt idx="18">
                  <c:v>3.54683346264576</c:v>
                </c:pt>
                <c:pt idx="19">
                  <c:v>2.70158123734903</c:v>
                </c:pt>
                <c:pt idx="20">
                  <c:v>2.53104951413367</c:v>
                </c:pt>
                <c:pt idx="21">
                  <c:v>2.01649846885032</c:v>
                </c:pt>
                <c:pt idx="22">
                  <c:v>1.75539287922086</c:v>
                </c:pt>
                <c:pt idx="23">
                  <c:v>1.48379928038498</c:v>
                </c:pt>
                <c:pt idx="24">
                  <c:v>1.44135983796845</c:v>
                </c:pt>
                <c:pt idx="25">
                  <c:v>1.31150316749006</c:v>
                </c:pt>
                <c:pt idx="26">
                  <c:v>1.12188484353994</c:v>
                </c:pt>
                <c:pt idx="27">
                  <c:v>0.966581584566515</c:v>
                </c:pt>
                <c:pt idx="28">
                  <c:v>0.940895678280268</c:v>
                </c:pt>
                <c:pt idx="29">
                  <c:v>0.836145510508547</c:v>
                </c:pt>
                <c:pt idx="30">
                  <c:v>0.766491748418357</c:v>
                </c:pt>
                <c:pt idx="31">
                  <c:v>0.714256415152199</c:v>
                </c:pt>
                <c:pt idx="32">
                  <c:v>0.518518468976507</c:v>
                </c:pt>
                <c:pt idx="33">
                  <c:v>0.408064762182774</c:v>
                </c:pt>
                <c:pt idx="34">
                  <c:v>0.355401965334779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203040"/>
        <c:axId val="2053201120"/>
      </c:lineChart>
      <c:catAx>
        <c:axId val="205320304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1120"/>
        <c:crosses val="autoZero"/>
        <c:auto val="1"/>
        <c:lblAlgn val="ctr"/>
        <c:lblOffset val="100"/>
        <c:noMultiLvlLbl val="0"/>
      </c:catAx>
      <c:valAx>
        <c:axId val="205320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 CO2e/t Al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200"/>
      </a:pPr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'Sectoral Slopes'!$B$22</c:f>
              <c:strCache>
                <c:ptCount val="1"/>
                <c:pt idx="0">
                  <c:v>Semis Sectoral Cradle-to-Gate (t CO2e/t Al)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numRef>
              <c:f>'Sectoral Slopes'!$C$1:$AK$1</c:f>
              <c:numCache>
                <c:formatCode>General</c:formatCode>
                <c:ptCount val="3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</c:numCache>
            </c:numRef>
          </c:cat>
          <c:val>
            <c:numRef>
              <c:f>'Sectoral Slopes'!$C$22:$AK$22</c:f>
              <c:numCache>
                <c:formatCode>0.0</c:formatCode>
                <c:ptCount val="35"/>
                <c:pt idx="0">
                  <c:v>11.5101208019133</c:v>
                </c:pt>
                <c:pt idx="1">
                  <c:v>11.5101208019133</c:v>
                </c:pt>
                <c:pt idx="2">
                  <c:v>11.5101208019133</c:v>
                </c:pt>
                <c:pt idx="3">
                  <c:v>11.2110291879589</c:v>
                </c:pt>
                <c:pt idx="4">
                  <c:v>10.487957767829</c:v>
                </c:pt>
                <c:pt idx="5">
                  <c:v>10.5890449197992</c:v>
                </c:pt>
                <c:pt idx="6">
                  <c:v>10.275188499989</c:v>
                </c:pt>
                <c:pt idx="7">
                  <c:v>9.6680549346126</c:v>
                </c:pt>
                <c:pt idx="8">
                  <c:v>9.32699776616313</c:v>
                </c:pt>
                <c:pt idx="9">
                  <c:v>8.97689537243579</c:v>
                </c:pt>
                <c:pt idx="10">
                  <c:v>8.42386766769748</c:v>
                </c:pt>
                <c:pt idx="11">
                  <c:v>8.35674729581342</c:v>
                </c:pt>
                <c:pt idx="12">
                  <c:v>7.90360911337016</c:v>
                </c:pt>
                <c:pt idx="13">
                  <c:v>7.43374249909099</c:v>
                </c:pt>
                <c:pt idx="14">
                  <c:v>6.87826291434148</c:v>
                </c:pt>
                <c:pt idx="15">
                  <c:v>5.98136566339865</c:v>
                </c:pt>
                <c:pt idx="16">
                  <c:v>4.77142279330014</c:v>
                </c:pt>
                <c:pt idx="17">
                  <c:v>4.385569628174</c:v>
                </c:pt>
                <c:pt idx="18">
                  <c:v>3.54683346264576</c:v>
                </c:pt>
                <c:pt idx="19">
                  <c:v>2.70158123734903</c:v>
                </c:pt>
                <c:pt idx="20">
                  <c:v>2.53104951413367</c:v>
                </c:pt>
                <c:pt idx="21">
                  <c:v>2.01649846885032</c:v>
                </c:pt>
                <c:pt idx="22">
                  <c:v>1.75539287922086</c:v>
                </c:pt>
                <c:pt idx="23">
                  <c:v>1.48379928038498</c:v>
                </c:pt>
                <c:pt idx="24">
                  <c:v>1.44135983796845</c:v>
                </c:pt>
                <c:pt idx="25">
                  <c:v>1.31150316749006</c:v>
                </c:pt>
                <c:pt idx="26">
                  <c:v>1.12188484353994</c:v>
                </c:pt>
                <c:pt idx="27">
                  <c:v>0.966581584566515</c:v>
                </c:pt>
                <c:pt idx="28">
                  <c:v>0.940895678280268</c:v>
                </c:pt>
                <c:pt idx="29">
                  <c:v>0.836145510508547</c:v>
                </c:pt>
                <c:pt idx="30">
                  <c:v>0.766491748418357</c:v>
                </c:pt>
                <c:pt idx="31">
                  <c:v>0.714256415152199</c:v>
                </c:pt>
                <c:pt idx="32">
                  <c:v>0.518518468976507</c:v>
                </c:pt>
                <c:pt idx="33">
                  <c:v>0.408064762182774</c:v>
                </c:pt>
                <c:pt idx="34">
                  <c:v>0.355401965334779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'Sectoral Slopes'!$B$19</c:f>
              <c:strCache>
                <c:ptCount val="1"/>
                <c:pt idx="0">
                  <c:v>Primary Sectoral Cradle-to-Gate (t CO2e/t Al) (IAI/MPP) - need ref (CCAF - PUBLISHED 4 Dec '23)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numRef>
              <c:f>'Sectoral Slopes'!$C$1:$AK$1</c:f>
              <c:numCache>
                <c:formatCode>General</c:formatCode>
                <c:ptCount val="3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</c:numCache>
            </c:numRef>
          </c:cat>
          <c:val>
            <c:numRef>
              <c:f>'Sectoral Slopes'!$C$19:$AK$19</c:f>
              <c:numCache>
                <c:formatCode>0.0</c:formatCode>
                <c:ptCount val="35"/>
                <c:pt idx="0">
                  <c:v>15.5347124433082</c:v>
                </c:pt>
                <c:pt idx="1">
                  <c:v>15.5347124433082</c:v>
                </c:pt>
                <c:pt idx="2">
                  <c:v>15.5347124433082</c:v>
                </c:pt>
                <c:pt idx="3">
                  <c:v>15.2477896945479</c:v>
                </c:pt>
                <c:pt idx="4">
                  <c:v>14.5541372157281</c:v>
                </c:pt>
                <c:pt idx="5">
                  <c:v>14.6511115277932</c:v>
                </c:pt>
                <c:pt idx="6">
                  <c:v>14.3500246952425</c:v>
                </c:pt>
                <c:pt idx="7">
                  <c:v>13.7675930143964</c:v>
                </c:pt>
                <c:pt idx="8">
                  <c:v>13.440412125029</c:v>
                </c:pt>
                <c:pt idx="9">
                  <c:v>13.1045540251388</c:v>
                </c:pt>
                <c:pt idx="10">
                  <c:v>12.5740268495815</c:v>
                </c:pt>
                <c:pt idx="11">
                  <c:v>12.5096373424865</c:v>
                </c:pt>
                <c:pt idx="12">
                  <c:v>12.0749355761752</c:v>
                </c:pt>
                <c:pt idx="13">
                  <c:v>11.6241859923362</c:v>
                </c:pt>
                <c:pt idx="14">
                  <c:v>11.0913066941528</c:v>
                </c:pt>
                <c:pt idx="15">
                  <c:v>9.53003344579838</c:v>
                </c:pt>
                <c:pt idx="16">
                  <c:v>7.42382625970631</c:v>
                </c:pt>
                <c:pt idx="17">
                  <c:v>6.75215263837335</c:v>
                </c:pt>
                <c:pt idx="18">
                  <c:v>5.29212325787286</c:v>
                </c:pt>
                <c:pt idx="19">
                  <c:v>3.82075105098896</c:v>
                </c:pt>
                <c:pt idx="20">
                  <c:v>3.60717592324672</c:v>
                </c:pt>
                <c:pt idx="21">
                  <c:v>2.96274858061379</c:v>
                </c:pt>
                <c:pt idx="22">
                  <c:v>2.63573810650455</c:v>
                </c:pt>
                <c:pt idx="23">
                  <c:v>2.29559237601139</c:v>
                </c:pt>
                <c:pt idx="24">
                  <c:v>2.24244092029091</c:v>
                </c:pt>
                <c:pt idx="25">
                  <c:v>2.03040666559141</c:v>
                </c:pt>
                <c:pt idx="26">
                  <c:v>1.72079161194792</c:v>
                </c:pt>
                <c:pt idx="27">
                  <c:v>1.46720732823326</c:v>
                </c:pt>
                <c:pt idx="28">
                  <c:v>1.42526653323504</c:v>
                </c:pt>
                <c:pt idx="29">
                  <c:v>1.2542270042582</c:v>
                </c:pt>
                <c:pt idx="30">
                  <c:v>1.20652388688836</c:v>
                </c:pt>
                <c:pt idx="31">
                  <c:v>1.17074996515214</c:v>
                </c:pt>
                <c:pt idx="32">
                  <c:v>1.03669675768777</c:v>
                </c:pt>
                <c:pt idx="33">
                  <c:v>0.961051365665839</c:v>
                </c:pt>
                <c:pt idx="34">
                  <c:v>0.924984690964034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'Sectoral Slopes'!$B$21</c:f>
              <c:strCache>
                <c:ptCount val="1"/>
                <c:pt idx="0">
                  <c:v>Casthouse Sectoral Cradle-to-Gate (t CO2e/t Al)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numRef>
              <c:f>'Sectoral Slopes'!$C$1:$AK$1</c:f>
              <c:numCache>
                <c:formatCode>General</c:formatCode>
                <c:ptCount val="3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</c:numCache>
            </c:numRef>
          </c:cat>
          <c:val>
            <c:numRef>
              <c:f>'Sectoral Slopes'!$C$21:$AK$21</c:f>
              <c:numCache>
                <c:formatCode>0.0</c:formatCode>
                <c:ptCount val="35"/>
                <c:pt idx="0">
                  <c:v>8.24867126054661</c:v>
                </c:pt>
                <c:pt idx="1">
                  <c:v>8.24867126054661</c:v>
                </c:pt>
                <c:pt idx="2">
                  <c:v>8.24867126054661</c:v>
                </c:pt>
                <c:pt idx="3">
                  <c:v>8.05492255946508</c:v>
                </c:pt>
                <c:pt idx="4">
                  <c:v>7.58652377493512</c:v>
                </c:pt>
                <c:pt idx="5">
                  <c:v>7.65200706994068</c:v>
                </c:pt>
                <c:pt idx="6">
                  <c:v>7.4486938681416</c:v>
                </c:pt>
                <c:pt idx="7">
                  <c:v>7.05539852254688</c:v>
                </c:pt>
                <c:pt idx="8">
                  <c:v>6.83446493464727</c:v>
                </c:pt>
                <c:pt idx="9">
                  <c:v>6.60767193589557</c:v>
                </c:pt>
                <c:pt idx="10">
                  <c:v>6.24942585189977</c:v>
                </c:pt>
                <c:pt idx="11">
                  <c:v>6.2059459137741</c:v>
                </c:pt>
                <c:pt idx="12">
                  <c:v>5.91240731167805</c:v>
                </c:pt>
                <c:pt idx="13">
                  <c:v>5.60803219064225</c:v>
                </c:pt>
                <c:pt idx="14">
                  <c:v>5.2481978021096</c:v>
                </c:pt>
                <c:pt idx="15">
                  <c:v>4.54573276493162</c:v>
                </c:pt>
                <c:pt idx="16">
                  <c:v>3.59808512487754</c:v>
                </c:pt>
                <c:pt idx="17">
                  <c:v>3.29587842539145</c:v>
                </c:pt>
                <c:pt idx="18">
                  <c:v>2.63896613016371</c:v>
                </c:pt>
                <c:pt idx="19">
                  <c:v>1.97695034714769</c:v>
                </c:pt>
                <c:pt idx="20">
                  <c:v>1.8493618397132</c:v>
                </c:pt>
                <c:pt idx="21">
                  <c:v>1.46438478894095</c:v>
                </c:pt>
                <c:pt idx="22">
                  <c:v>1.26903068217716</c:v>
                </c:pt>
                <c:pt idx="23">
                  <c:v>1.06582965159548</c:v>
                </c:pt>
                <c:pt idx="24">
                  <c:v>1.03407728897237</c:v>
                </c:pt>
                <c:pt idx="25">
                  <c:v>0.935544231059637</c:v>
                </c:pt>
                <c:pt idx="26">
                  <c:v>0.7916650354337</c:v>
                </c:pt>
                <c:pt idx="27">
                  <c:v>0.673823534076158</c:v>
                </c:pt>
                <c:pt idx="28">
                  <c:v>0.654333500315705</c:v>
                </c:pt>
                <c:pt idx="29">
                  <c:v>0.574850834470385</c:v>
                </c:pt>
                <c:pt idx="30">
                  <c:v>0.528495010203488</c:v>
                </c:pt>
                <c:pt idx="31">
                  <c:v>0.493731461807158</c:v>
                </c:pt>
                <c:pt idx="32">
                  <c:v>0.363464358308358</c:v>
                </c:pt>
                <c:pt idx="33">
                  <c:v>0.289955441228936</c:v>
                </c:pt>
                <c:pt idx="34">
                  <c:v>0.254907408174699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357696"/>
        <c:axId val="921793792"/>
      </c:lineChart>
      <c:catAx>
        <c:axId val="106935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21793792"/>
        <c:crosses val="autoZero"/>
        <c:auto val="1"/>
        <c:lblAlgn val="ctr"/>
        <c:lblOffset val="100"/>
        <c:noMultiLvlLbl val="0"/>
      </c:catAx>
      <c:valAx>
        <c:axId val="92179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06935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Primary</a:t>
            </a:r>
            <a:r>
              <a:rPr lang="en-GB" baseline="0"/>
              <a:t> t</a:t>
            </a:r>
            <a:r>
              <a:rPr lang="en-GB"/>
              <a:t>otal</a:t>
            </a:r>
            <a:r>
              <a:rPr lang="en-GB" baseline="0"/>
              <a:t> intensity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'Primary (100% electrolytic)'!$C$14</c:f>
              <c:strCache>
                <c:ptCount val="1"/>
                <c:pt idx="0">
                  <c:v>Entity Total Cradle to Gate Emissions Intensity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numRef>
              <c:f>'Primary (100% electrolytic)'!$F$11:$AN$11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'Primary (100% electrolytic)'!$F$14:$AN$14</c:f>
              <c:numCache>
                <c:formatCode>0.0</c:formatCode>
                <c:ptCount val="35"/>
              </c:numCache>
            </c:numRef>
          </c:val>
          <c:smooth val="0"/>
        </c:ser>
        <c:ser>
          <c:idx val="1"/>
          <c:order val="1"/>
          <c:tx>
            <c:strRef>
              <c:f>'Primary Archetype Data Tables'!$A$4</c:f>
              <c:strCache>
                <c:ptCount val="1"/>
                <c:pt idx="0">
                  <c:v>Primary Sectoral Cradle-to-Gate (IAI/MPP)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'Primary (100% electrolytic)'!$F$11:$AN$11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'Primary Archetype Data Tables'!$B$4:$AJ$4</c:f>
              <c:numCache>
                <c:formatCode>0.0</c:formatCode>
                <c:ptCount val="35"/>
                <c:pt idx="0">
                  <c:v>15.5347124433082</c:v>
                </c:pt>
                <c:pt idx="1">
                  <c:v>15.5347124433082</c:v>
                </c:pt>
                <c:pt idx="2">
                  <c:v>15.5347124433082</c:v>
                </c:pt>
                <c:pt idx="3">
                  <c:v>15.2477896945479</c:v>
                </c:pt>
                <c:pt idx="4">
                  <c:v>14.5541372157281</c:v>
                </c:pt>
                <c:pt idx="5">
                  <c:v>14.6511115277932</c:v>
                </c:pt>
                <c:pt idx="6">
                  <c:v>14.3500246952425</c:v>
                </c:pt>
                <c:pt idx="7">
                  <c:v>13.7675930143964</c:v>
                </c:pt>
                <c:pt idx="8">
                  <c:v>13.440412125029</c:v>
                </c:pt>
                <c:pt idx="9">
                  <c:v>13.1045540251388</c:v>
                </c:pt>
                <c:pt idx="10">
                  <c:v>12.5740268495815</c:v>
                </c:pt>
                <c:pt idx="11">
                  <c:v>12.5096373424865</c:v>
                </c:pt>
                <c:pt idx="12">
                  <c:v>12.0749355761752</c:v>
                </c:pt>
                <c:pt idx="13">
                  <c:v>11.6241859923362</c:v>
                </c:pt>
                <c:pt idx="14">
                  <c:v>11.0913066941528</c:v>
                </c:pt>
                <c:pt idx="15">
                  <c:v>9.53003344579838</c:v>
                </c:pt>
                <c:pt idx="16">
                  <c:v>7.42382625970631</c:v>
                </c:pt>
                <c:pt idx="17">
                  <c:v>6.75215263837335</c:v>
                </c:pt>
                <c:pt idx="18">
                  <c:v>5.29212325787286</c:v>
                </c:pt>
                <c:pt idx="19">
                  <c:v>3.82075105098896</c:v>
                </c:pt>
                <c:pt idx="20">
                  <c:v>3.60717592324672</c:v>
                </c:pt>
                <c:pt idx="21">
                  <c:v>2.96274858061379</c:v>
                </c:pt>
                <c:pt idx="22">
                  <c:v>2.63573810650455</c:v>
                </c:pt>
                <c:pt idx="23">
                  <c:v>2.29559237601139</c:v>
                </c:pt>
                <c:pt idx="24">
                  <c:v>2.24244092029091</c:v>
                </c:pt>
                <c:pt idx="25">
                  <c:v>2.03040666559141</c:v>
                </c:pt>
                <c:pt idx="26">
                  <c:v>1.72079161194792</c:v>
                </c:pt>
                <c:pt idx="27">
                  <c:v>1.46720732823326</c:v>
                </c:pt>
                <c:pt idx="28">
                  <c:v>1.42526653323504</c:v>
                </c:pt>
                <c:pt idx="29">
                  <c:v>1.2542270042582</c:v>
                </c:pt>
                <c:pt idx="30">
                  <c:v>1.20652388688836</c:v>
                </c:pt>
                <c:pt idx="31">
                  <c:v>1.17074996515214</c:v>
                </c:pt>
                <c:pt idx="32">
                  <c:v>1.03669675768777</c:v>
                </c:pt>
                <c:pt idx="33">
                  <c:v>0.961051365665839</c:v>
                </c:pt>
                <c:pt idx="34">
                  <c:v>0.924984690964034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'5.2 smelter thresholds'!$C$6</c:f>
              <c:strCache>
                <c:ptCount val="1"/>
                <c:pt idx="0">
                  <c:v>5.2 threshold (post-2020)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'Primary (100% electrolytic)'!$F$11:$AN$11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'5.2 smelter thresholds'!$D$6:$R$6</c:f>
              <c:numCache>
                <c:formatCode>General</c:formatCode>
                <c:ptCount val="15"/>
                <c:pt idx="0">
                  <c:v>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'5.2 smelter thresholds'!$C$4</c:f>
              <c:strCache>
                <c:ptCount val="1"/>
                <c:pt idx="0">
                  <c:v>5.2 threshold (pre-2020 )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'Primary (100% electrolytic)'!$F$11:$AN$11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'5.2 smelter thresholds'!$D$4:$R$4</c:f>
              <c:numCache>
                <c:formatCode>General</c:formatCode>
                <c:ptCount val="15"/>
                <c:pt idx="0">
                  <c:v>13</c:v>
                </c:pt>
                <c:pt idx="1">
                  <c:v>13</c:v>
                </c:pt>
                <c:pt idx="2">
                  <c:v>13</c:v>
                </c:pt>
                <c:pt idx="3">
                  <c:v>13</c:v>
                </c:pt>
                <c:pt idx="4">
                  <c:v>13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13</c:v>
                </c:pt>
                <c:pt idx="9">
                  <c:v>13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11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'5.2 smelter thresholds'!$C$5</c:f>
              <c:strCache>
                <c:ptCount val="1"/>
                <c:pt idx="0">
                  <c:v>drop-line 13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Pt>
            <c:idx val="9"/>
            <c:marker>
              <c:symbol val="circle"/>
              <c:size val="10"/>
              <c:spPr>
                <a:solidFill>
                  <a:srgbClr val="FF0000"/>
                </a:solidFill>
                <a:ln w="25400">
                  <a:solidFill>
                    <a:srgbClr val="FF0000"/>
                  </a:solidFill>
                </a:ln>
                <a:effectLst/>
              </c:spPr>
            </c:marker>
            <c:bubble3D val="0"/>
          </c:dPt>
          <c:dLbls>
            <c:delete val="1"/>
          </c:dLbls>
          <c:cat>
            <c:numRef>
              <c:f>'Primary (100% electrolytic)'!$F$11:$AN$11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'5.2 smelter thresholds'!$D$5:$R$5</c:f>
              <c:numCache>
                <c:formatCode>General</c:formatCode>
                <c:ptCount val="1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13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'5.2 smelter thresholds'!$C$7</c:f>
              <c:strCache>
                <c:ptCount val="1"/>
                <c:pt idx="0">
                  <c:v>drop-line 11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14"/>
            <c:marker>
              <c:symbol val="circle"/>
              <c:size val="10"/>
              <c:spPr>
                <a:solidFill>
                  <a:srgbClr val="FFC000"/>
                </a:solidFill>
                <a:ln w="25400">
                  <a:solidFill>
                    <a:srgbClr val="FF0000"/>
                  </a:solidFill>
                </a:ln>
                <a:effectLst/>
              </c:spPr>
            </c:marker>
            <c:bubble3D val="0"/>
          </c:dPt>
          <c:dLbls>
            <c:delete val="1"/>
          </c:dLbls>
          <c:cat>
            <c:numRef>
              <c:f>'Primary (100% electrolytic)'!$F$11:$AN$11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'5.2 smelter thresholds'!$D$7:$R$7</c:f>
              <c:numCache>
                <c:formatCode>General</c:formatCode>
                <c:ptCount val="1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203040"/>
        <c:axId val="2053201120"/>
      </c:lineChart>
      <c:catAx>
        <c:axId val="205320304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1120"/>
        <c:crosses val="autoZero"/>
        <c:auto val="1"/>
        <c:lblAlgn val="ctr"/>
        <c:lblOffset val="100"/>
        <c:noMultiLvlLbl val="0"/>
      </c:catAx>
      <c:valAx>
        <c:axId val="205320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t CO2e/t Al</a:t>
                </a:r>
                <a:endParaRPr lang="en-GB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28346839298149"/>
          <c:y val="0.0983603338242514"/>
          <c:w val="0.957011100885117"/>
          <c:h val="0.801348285072613"/>
        </c:manualLayout>
      </c:layout>
      <c:lineChart>
        <c:grouping val="standard"/>
        <c:varyColors val="0"/>
        <c:ser>
          <c:idx val="1"/>
          <c:order val="0"/>
          <c:tx>
            <c:strRef>
              <c:f>"Entity Procurement Intensity"</c:f>
              <c:strCache>
                <c:ptCount val="1"/>
                <c:pt idx="0">
                  <c:v>Entity Procurement Intensity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numRef>
              <c:f>'Casthouse &amp; Post-CH Data Entry'!$D$17:$AG$17</c:f>
              <c:numCache>
                <c:formatCode>0</c:formatCode>
                <c:ptCount val="30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</c:numCache>
            </c:numRef>
          </c:cat>
          <c:val>
            <c:numRef>
              <c:f>'Casthouse &amp; Post-CH Data Entry'!$D$18:$AG$18</c:f>
              <c:numCache>
                <c:formatCode>0.0</c:formatCode>
                <c:ptCount val="30"/>
              </c:numCache>
            </c:numRef>
          </c:val>
          <c:smooth val="0"/>
        </c:ser>
        <c:ser>
          <c:idx val="2"/>
          <c:order val="1"/>
          <c:tx>
            <c:strRef>
              <c:f>"Fab Procurement Sectoral"</c:f>
              <c:strCache>
                <c:ptCount val="1"/>
                <c:pt idx="0">
                  <c:v>Fab Procurement Sectoral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'Casthouse &amp; Post-CH Data Entry'!$D$17:$AG$17</c:f>
              <c:numCache>
                <c:formatCode>0</c:formatCode>
                <c:ptCount val="30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</c:numCache>
            </c:numRef>
          </c:cat>
          <c:val>
            <c:numRef>
              <c:f>'Post-Semis Proc''ment Data Table'!$B$2:$AE$2</c:f>
              <c:numCache>
                <c:formatCode>0.0</c:formatCode>
                <c:ptCount val="30"/>
                <c:pt idx="0">
                  <c:v>11.5101208019133</c:v>
                </c:pt>
                <c:pt idx="1">
                  <c:v>11.5101208019133</c:v>
                </c:pt>
                <c:pt idx="2">
                  <c:v>11.5101208019133</c:v>
                </c:pt>
                <c:pt idx="3">
                  <c:v>11.2110291879589</c:v>
                </c:pt>
                <c:pt idx="4">
                  <c:v>10.487957767829</c:v>
                </c:pt>
                <c:pt idx="5">
                  <c:v>10.5890449197992</c:v>
                </c:pt>
                <c:pt idx="6">
                  <c:v>10.275188499989</c:v>
                </c:pt>
                <c:pt idx="7">
                  <c:v>9.6680549346126</c:v>
                </c:pt>
                <c:pt idx="8">
                  <c:v>9.32699776616313</c:v>
                </c:pt>
                <c:pt idx="9">
                  <c:v>8.97689537243579</c:v>
                </c:pt>
                <c:pt idx="10">
                  <c:v>8.42386766769748</c:v>
                </c:pt>
                <c:pt idx="11">
                  <c:v>8.35674729581342</c:v>
                </c:pt>
                <c:pt idx="12">
                  <c:v>7.90360911337016</c:v>
                </c:pt>
                <c:pt idx="13">
                  <c:v>7.43374249909099</c:v>
                </c:pt>
                <c:pt idx="14">
                  <c:v>6.87826291434148</c:v>
                </c:pt>
                <c:pt idx="15">
                  <c:v>5.98136566339865</c:v>
                </c:pt>
                <c:pt idx="16">
                  <c:v>4.77142279330014</c:v>
                </c:pt>
                <c:pt idx="17">
                  <c:v>4.385569628174</c:v>
                </c:pt>
                <c:pt idx="18">
                  <c:v>3.54683346264576</c:v>
                </c:pt>
                <c:pt idx="19">
                  <c:v>2.70158123734903</c:v>
                </c:pt>
                <c:pt idx="20">
                  <c:v>2.53104951413367</c:v>
                </c:pt>
                <c:pt idx="21">
                  <c:v>2.01649846885032</c:v>
                </c:pt>
                <c:pt idx="22">
                  <c:v>1.75539287922086</c:v>
                </c:pt>
                <c:pt idx="23">
                  <c:v>1.48379928038498</c:v>
                </c:pt>
                <c:pt idx="24">
                  <c:v>1.44135983796845</c:v>
                </c:pt>
                <c:pt idx="25">
                  <c:v>1.31150316749006</c:v>
                </c:pt>
                <c:pt idx="26">
                  <c:v>1.12188484353994</c:v>
                </c:pt>
                <c:pt idx="27">
                  <c:v>0.966581584566515</c:v>
                </c:pt>
                <c:pt idx="28">
                  <c:v>0.940895678280268</c:v>
                </c:pt>
                <c:pt idx="29">
                  <c:v>0.836145510508547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203040"/>
        <c:axId val="2053201120"/>
      </c:lineChart>
      <c:catAx>
        <c:axId val="205320304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1120"/>
        <c:crosses val="autoZero"/>
        <c:auto val="1"/>
        <c:lblAlgn val="ctr"/>
        <c:lblOffset val="100"/>
        <c:noMultiLvlLbl val="0"/>
      </c:catAx>
      <c:valAx>
        <c:axId val="205320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3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'Recycling Gate to Gate'!$A$12</c:f>
              <c:strCache>
                <c:ptCount val="1"/>
                <c:pt idx="0">
                  <c:v>Average Recycling Gate to Gate Emissions Intensity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numRef>
              <c:f>'Recycling Gate to Gate'!$D$11:$AJ$11</c:f>
              <c:numCache>
                <c:formatCode>General</c:formatCode>
                <c:ptCount val="3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cat>
          <c:val>
            <c:numRef>
              <c:f>'Recycling Gate to Gate'!$D$12:$AG$12</c:f>
              <c:numCache>
                <c:formatCode>0.000</c:formatCode>
                <c:ptCount val="30"/>
                <c:pt idx="0">
                  <c:v>0.34</c:v>
                </c:pt>
                <c:pt idx="1">
                  <c:v>0.34</c:v>
                </c:pt>
                <c:pt idx="2">
                  <c:v>0.34</c:v>
                </c:pt>
                <c:pt idx="3">
                  <c:v>0.332920470251614</c:v>
                </c:pt>
                <c:pt idx="4">
                  <c:v>0.326177394769851</c:v>
                </c:pt>
                <c:pt idx="5">
                  <c:v>0.319747345311593</c:v>
                </c:pt>
                <c:pt idx="6">
                  <c:v>0.31360901945609</c:v>
                </c:pt>
                <c:pt idx="7">
                  <c:v>0.307743004838186</c:v>
                </c:pt>
                <c:pt idx="8">
                  <c:v>0.302131574078235</c:v>
                </c:pt>
                <c:pt idx="9">
                  <c:v>0.296758505844932</c:v>
                </c:pt>
                <c:pt idx="10">
                  <c:v>0.291608928246617</c:v>
                </c:pt>
                <c:pt idx="11">
                  <c:v>0.28666918136665</c:v>
                </c:pt>
                <c:pt idx="12">
                  <c:v>0.281926696267155</c:v>
                </c:pt>
                <c:pt idx="13">
                  <c:v>0.27736988820445</c:v>
                </c:pt>
                <c:pt idx="14">
                  <c:v>0.272988062146085</c:v>
                </c:pt>
                <c:pt idx="15">
                  <c:v>0.26190368785727</c:v>
                </c:pt>
                <c:pt idx="16">
                  <c:v>0.251155265492845</c:v>
                </c:pt>
                <c:pt idx="17">
                  <c:v>0.240727749703219</c:v>
                </c:pt>
                <c:pt idx="18">
                  <c:v>0.230606980317393</c:v>
                </c:pt>
                <c:pt idx="19">
                  <c:v>0.220779618188301</c:v>
                </c:pt>
                <c:pt idx="20">
                  <c:v>0.207675092061098</c:v>
                </c:pt>
                <c:pt idx="21">
                  <c:v>0.194991934643279</c:v>
                </c:pt>
                <c:pt idx="22">
                  <c:v>0.182710144194411</c:v>
                </c:pt>
                <c:pt idx="23">
                  <c:v>0.170810965192171</c:v>
                </c:pt>
                <c:pt idx="24">
                  <c:v>0.15927679276319</c:v>
                </c:pt>
                <c:pt idx="25">
                  <c:v>0.146765978417445</c:v>
                </c:pt>
                <c:pt idx="26">
                  <c:v>0.134503803665332</c:v>
                </c:pt>
                <c:pt idx="27">
                  <c:v>0.122482929251861</c:v>
                </c:pt>
                <c:pt idx="28">
                  <c:v>0.110696301957701</c:v>
                </c:pt>
                <c:pt idx="29">
                  <c:v>0.0991371407989057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'Recycling Gate to Gate'!$C$14</c:f>
              <c:strCache>
                <c:ptCount val="1"/>
                <c:pt idx="0">
                  <c:v>Recycling Gate-to-Gate Sectoral (IAI/MPP)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'Recycling Gate to Gate'!$D$11:$AJ$11</c:f>
              <c:numCache>
                <c:formatCode>General</c:formatCode>
                <c:ptCount val="3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cat>
          <c:val>
            <c:numRef>
              <c:f>'Recycling Gate to Gate'!$D$14:$AG$14</c:f>
              <c:numCache>
                <c:formatCode>0.000</c:formatCode>
                <c:ptCount val="30"/>
                <c:pt idx="0">
                  <c:v>0.418040921900816</c:v>
                </c:pt>
                <c:pt idx="1">
                  <c:v>0.418040921900816</c:v>
                </c:pt>
                <c:pt idx="2">
                  <c:v>0.418040921900816</c:v>
                </c:pt>
                <c:pt idx="3">
                  <c:v>0.408870751798659</c:v>
                </c:pt>
                <c:pt idx="4">
                  <c:v>0.400136393532343</c:v>
                </c:pt>
                <c:pt idx="5">
                  <c:v>0.39180750031582</c:v>
                </c:pt>
                <c:pt idx="6">
                  <c:v>0.383856478957338</c:v>
                </c:pt>
                <c:pt idx="7">
                  <c:v>0.376258184468897</c:v>
                </c:pt>
                <c:pt idx="8">
                  <c:v>0.36898965443737</c:v>
                </c:pt>
                <c:pt idx="9">
                  <c:v>0.362029877245798</c:v>
                </c:pt>
                <c:pt idx="10">
                  <c:v>0.355359589216912</c:v>
                </c:pt>
                <c:pt idx="11">
                  <c:v>0.348961096554143</c:v>
                </c:pt>
                <c:pt idx="12">
                  <c:v>0.342818118614228</c:v>
                </c:pt>
                <c:pt idx="13">
                  <c:v>0.336915649588314</c:v>
                </c:pt>
                <c:pt idx="14">
                  <c:v>0.331239836117451</c:v>
                </c:pt>
                <c:pt idx="15">
                  <c:v>0.316882159645001</c:v>
                </c:pt>
                <c:pt idx="16">
                  <c:v>0.30295964432058</c:v>
                </c:pt>
                <c:pt idx="17">
                  <c:v>0.28945280178551</c:v>
                </c:pt>
                <c:pt idx="18">
                  <c:v>0.27634329025985</c:v>
                </c:pt>
                <c:pt idx="19">
                  <c:v>0.263613831442362</c:v>
                </c:pt>
                <c:pt idx="20">
                  <c:v>0.246639436536824</c:v>
                </c:pt>
                <c:pt idx="21">
                  <c:v>0.230210843807152</c:v>
                </c:pt>
                <c:pt idx="22">
                  <c:v>0.214302144842954</c:v>
                </c:pt>
                <c:pt idx="23">
                  <c:v>0.198889045469874</c:v>
                </c:pt>
                <c:pt idx="24">
                  <c:v>0.183948741958121</c:v>
                </c:pt>
                <c:pt idx="25">
                  <c:v>0.167743386553953</c:v>
                </c:pt>
                <c:pt idx="26">
                  <c:v>0.15186009595476</c:v>
                </c:pt>
                <c:pt idx="27">
                  <c:v>0.136289363566311</c:v>
                </c:pt>
                <c:pt idx="28">
                  <c:v>0.121022053298589</c:v>
                </c:pt>
                <c:pt idx="29">
                  <c:v>0.106049381690202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203040"/>
        <c:axId val="2053201120"/>
      </c:lineChart>
      <c:catAx>
        <c:axId val="205320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1120"/>
        <c:crosses val="autoZero"/>
        <c:auto val="1"/>
        <c:lblAlgn val="ctr"/>
        <c:lblOffset val="100"/>
        <c:noMultiLvlLbl val="0"/>
      </c:catAx>
      <c:valAx>
        <c:axId val="205320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3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'Semis Gate to Gate'!$A$12</c:f>
              <c:strCache>
                <c:ptCount val="1"/>
                <c:pt idx="0">
                  <c:v>Average Semis Gate to Gate Emissions Intensity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'Recycling G2G Data Table'!$B$1:$AH$1</c:f>
              <c:strCache>
                <c:ptCount val="3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</c:strCache>
            </c:strRef>
          </c:cat>
          <c:val>
            <c:numRef>
              <c:f>'Semis Gate to Gate'!$D$12:$AG$12</c:f>
              <c:numCache>
                <c:formatCode>0.000</c:formatCode>
                <c:ptCount val="30"/>
                <c:pt idx="0">
                  <c:v>0.165</c:v>
                </c:pt>
                <c:pt idx="1">
                  <c:v>0.165</c:v>
                </c:pt>
                <c:pt idx="2">
                  <c:v>0.165</c:v>
                </c:pt>
                <c:pt idx="3">
                  <c:v>0.16188235675707</c:v>
                </c:pt>
                <c:pt idx="4">
                  <c:v>0.15876471351414</c:v>
                </c:pt>
                <c:pt idx="5">
                  <c:v>0.155647070271209</c:v>
                </c:pt>
                <c:pt idx="6">
                  <c:v>0.152529427028279</c:v>
                </c:pt>
                <c:pt idx="7">
                  <c:v>0.149411783785349</c:v>
                </c:pt>
                <c:pt idx="8">
                  <c:v>0.146294140542419</c:v>
                </c:pt>
                <c:pt idx="9">
                  <c:v>0.143176497299488</c:v>
                </c:pt>
                <c:pt idx="10">
                  <c:v>0.140058854056558</c:v>
                </c:pt>
                <c:pt idx="11">
                  <c:v>0.136941210813628</c:v>
                </c:pt>
                <c:pt idx="12">
                  <c:v>0.133823567570698</c:v>
                </c:pt>
                <c:pt idx="13">
                  <c:v>0.130705924327768</c:v>
                </c:pt>
                <c:pt idx="14">
                  <c:v>0.127588281084837</c:v>
                </c:pt>
                <c:pt idx="15">
                  <c:v>0.125585430710612</c:v>
                </c:pt>
                <c:pt idx="16">
                  <c:v>0.123582580336387</c:v>
                </c:pt>
                <c:pt idx="17">
                  <c:v>0.121579729962163</c:v>
                </c:pt>
                <c:pt idx="18">
                  <c:v>0.119576879587938</c:v>
                </c:pt>
                <c:pt idx="19">
                  <c:v>0.117574029213713</c:v>
                </c:pt>
                <c:pt idx="20">
                  <c:v>0.115130295861915</c:v>
                </c:pt>
                <c:pt idx="21">
                  <c:v>0.112686562510118</c:v>
                </c:pt>
                <c:pt idx="22">
                  <c:v>0.11024282915832</c:v>
                </c:pt>
                <c:pt idx="23">
                  <c:v>0.107799095806523</c:v>
                </c:pt>
                <c:pt idx="24">
                  <c:v>0.105355362454725</c:v>
                </c:pt>
                <c:pt idx="25">
                  <c:v>0.10350647568821</c:v>
                </c:pt>
                <c:pt idx="26">
                  <c:v>0.101657588921695</c:v>
                </c:pt>
                <c:pt idx="27">
                  <c:v>0.0998087021551801</c:v>
                </c:pt>
                <c:pt idx="28">
                  <c:v>0.097959815388665</c:v>
                </c:pt>
                <c:pt idx="29">
                  <c:v>0.0961109286221498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203040"/>
        <c:axId val="2053201120"/>
      </c:lineChart>
      <c:catAx>
        <c:axId val="205320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1120"/>
        <c:crosses val="autoZero"/>
        <c:auto val="1"/>
        <c:lblAlgn val="ctr"/>
        <c:lblOffset val="100"/>
        <c:noMultiLvlLbl val="0"/>
      </c:catAx>
      <c:valAx>
        <c:axId val="205320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3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Integrated</a:t>
            </a:r>
            <a:r>
              <a:rPr lang="en-GB" baseline="0"/>
              <a:t> [</a:t>
            </a:r>
            <a:r>
              <a:rPr lang="en-GB"/>
              <a:t>Casthouse+Semis+Fabrication]</a:t>
            </a:r>
            <a:r>
              <a:rPr lang="en-GB" baseline="0"/>
              <a:t> </a:t>
            </a:r>
            <a:r>
              <a:rPr lang="en-GB"/>
              <a:t>Aluminium Procurement (Scope 3, Cat. 1)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842911111111111"/>
          <c:y val="0.0807274074074074"/>
          <c:w val="0.907753555555556"/>
          <c:h val="0.766571523676026"/>
        </c:manualLayout>
      </c:layout>
      <c:lineChart>
        <c:grouping val="standard"/>
        <c:varyColors val="0"/>
        <c:ser>
          <c:idx val="4"/>
          <c:order val="0"/>
          <c:tx>
            <c:strRef>
              <c:f>"Entity Integrated Procurement Slope"</c:f>
              <c:strCache>
                <c:ptCount val="1"/>
                <c:pt idx="0">
                  <c:v>Entity Integrated Procurement Slope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elete val="1"/>
          </c:dLbls>
          <c:cat>
            <c:numRef>
              <c:f>'Casthouse &amp; Post-CH Data Entry'!$D$17:$AL$17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'Casthouse &amp; Post-CH Data Entry'!$D$21:$AL$21</c:f>
              <c:numCache>
                <c:formatCode>0.0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203040"/>
        <c:axId val="2053201120"/>
      </c:lineChart>
      <c:catAx>
        <c:axId val="205320304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1120"/>
        <c:crosses val="autoZero"/>
        <c:auto val="1"/>
        <c:lblAlgn val="ctr"/>
        <c:lblOffset val="100"/>
        <c:noMultiLvlLbl val="0"/>
      </c:catAx>
      <c:valAx>
        <c:axId val="205320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 CO2e/t Al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200"/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Process (Scope 1 &amp; 2)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842911111111111"/>
          <c:y val="0.0807274074074074"/>
          <c:w val="0.907753555555556"/>
          <c:h val="0.740200185185185"/>
        </c:manualLayout>
      </c:layout>
      <c:lineChart>
        <c:grouping val="standard"/>
        <c:varyColors val="0"/>
        <c:ser>
          <c:idx val="2"/>
          <c:order val="0"/>
          <c:tx>
            <c:strRef>
              <c:f>"Entity Casthouse Process Slope"</c:f>
              <c:strCache>
                <c:ptCount val="1"/>
                <c:pt idx="0">
                  <c:v>Entity Casthouse Process Slope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numRef>
              <c:f>'Casthouse &amp; Post-CH Data Entry'!$D$13:$AL$13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'Casthouse &amp; Post-CH Data Entry'!$D$10:$AL$10</c:f>
              <c:numCache>
                <c:formatCode>0.000</c:formatCode>
                <c:ptCount val="35"/>
                <c:pt idx="7">
                  <c:v>0.54</c:v>
                </c:pt>
                <c:pt idx="8">
                  <c:v>0.486</c:v>
                </c:pt>
                <c:pt idx="9">
                  <c:v>0.4374</c:v>
                </c:pt>
                <c:pt idx="10">
                  <c:v>0.39366</c:v>
                </c:pt>
                <c:pt idx="11">
                  <c:v>0.354294</c:v>
                </c:pt>
                <c:pt idx="12">
                  <c:v>0.3188646</c:v>
                </c:pt>
                <c:pt idx="13">
                  <c:v>0.28697814</c:v>
                </c:pt>
                <c:pt idx="14">
                  <c:v>0.258280326</c:v>
                </c:pt>
                <c:pt idx="15">
                  <c:v>0.2324522934</c:v>
                </c:pt>
                <c:pt idx="16">
                  <c:v>0.20920706406</c:v>
                </c:pt>
                <c:pt idx="17">
                  <c:v>0.188286357654</c:v>
                </c:pt>
                <c:pt idx="18">
                  <c:v>0.1694577218886</c:v>
                </c:pt>
                <c:pt idx="19">
                  <c:v>0.15251194969974</c:v>
                </c:pt>
                <c:pt idx="20">
                  <c:v>0.137260754729766</c:v>
                </c:pt>
                <c:pt idx="21">
                  <c:v>0.123534679256789</c:v>
                </c:pt>
                <c:pt idx="22">
                  <c:v>0.11118121133111</c:v>
                </c:pt>
                <c:pt idx="23">
                  <c:v>0.100063090197999</c:v>
                </c:pt>
                <c:pt idx="24">
                  <c:v>0.0900567811781995</c:v>
                </c:pt>
                <c:pt idx="25">
                  <c:v>0.0810511030603795</c:v>
                </c:pt>
                <c:pt idx="26">
                  <c:v>0.0729459927543416</c:v>
                </c:pt>
                <c:pt idx="27">
                  <c:v>0.0656513934789074</c:v>
                </c:pt>
                <c:pt idx="28">
                  <c:v>0.0590862541310167</c:v>
                </c:pt>
                <c:pt idx="29">
                  <c:v>0.053177628717915</c:v>
                </c:pt>
                <c:pt idx="30">
                  <c:v>0.0478598658461235</c:v>
                </c:pt>
                <c:pt idx="31">
                  <c:v>0.0430738792615112</c:v>
                </c:pt>
                <c:pt idx="32">
                  <c:v>0.03876649133536</c:v>
                </c:pt>
                <c:pt idx="33">
                  <c:v>0.034889842201824</c:v>
                </c:pt>
                <c:pt idx="34">
                  <c:v>0.0314008579816416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"Sector Casthouse Process"</c:f>
              <c:strCache>
                <c:ptCount val="1"/>
                <c:pt idx="0">
                  <c:v>Sector Casthouse Process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'Casthouse &amp; Post-CH Data Entry'!$D$13:$AL$13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'Recycling G2G Data Table'!$B$2:$AJ$2</c:f>
              <c:numCache>
                <c:formatCode>0.000</c:formatCode>
                <c:ptCount val="35"/>
                <c:pt idx="0">
                  <c:v>0.418040921900816</c:v>
                </c:pt>
                <c:pt idx="1">
                  <c:v>0.418040921900816</c:v>
                </c:pt>
                <c:pt idx="2">
                  <c:v>0.418040921900816</c:v>
                </c:pt>
                <c:pt idx="3">
                  <c:v>0.408870751798659</c:v>
                </c:pt>
                <c:pt idx="4">
                  <c:v>0.400136393532343</c:v>
                </c:pt>
                <c:pt idx="5">
                  <c:v>0.39180750031582</c:v>
                </c:pt>
                <c:pt idx="6">
                  <c:v>0.383856478957338</c:v>
                </c:pt>
                <c:pt idx="7">
                  <c:v>0.376258184468897</c:v>
                </c:pt>
                <c:pt idx="8">
                  <c:v>0.36898965443737</c:v>
                </c:pt>
                <c:pt idx="9">
                  <c:v>0.362029877245798</c:v>
                </c:pt>
                <c:pt idx="10">
                  <c:v>0.355359589216912</c:v>
                </c:pt>
                <c:pt idx="11">
                  <c:v>0.348961096554143</c:v>
                </c:pt>
                <c:pt idx="12">
                  <c:v>0.342818118614228</c:v>
                </c:pt>
                <c:pt idx="13">
                  <c:v>0.336915649588314</c:v>
                </c:pt>
                <c:pt idx="14">
                  <c:v>0.331239836117451</c:v>
                </c:pt>
                <c:pt idx="15">
                  <c:v>0.316882159645001</c:v>
                </c:pt>
                <c:pt idx="16">
                  <c:v>0.30295964432058</c:v>
                </c:pt>
                <c:pt idx="17">
                  <c:v>0.28945280178551</c:v>
                </c:pt>
                <c:pt idx="18">
                  <c:v>0.27634329025985</c:v>
                </c:pt>
                <c:pt idx="19">
                  <c:v>0.263613831442362</c:v>
                </c:pt>
                <c:pt idx="20">
                  <c:v>0.246639436536824</c:v>
                </c:pt>
                <c:pt idx="21">
                  <c:v>0.230210843807152</c:v>
                </c:pt>
                <c:pt idx="22">
                  <c:v>0.214302144842954</c:v>
                </c:pt>
                <c:pt idx="23">
                  <c:v>0.198889045469874</c:v>
                </c:pt>
                <c:pt idx="24">
                  <c:v>0.183948741958121</c:v>
                </c:pt>
                <c:pt idx="25">
                  <c:v>0.167743386553953</c:v>
                </c:pt>
                <c:pt idx="26">
                  <c:v>0.15186009595476</c:v>
                </c:pt>
                <c:pt idx="27">
                  <c:v>0.136289363566311</c:v>
                </c:pt>
                <c:pt idx="28">
                  <c:v>0.121022053298589</c:v>
                </c:pt>
                <c:pt idx="29">
                  <c:v>0.106049381690202</c:v>
                </c:pt>
                <c:pt idx="30">
                  <c:v>0.0997963930850234</c:v>
                </c:pt>
                <c:pt idx="31">
                  <c:v>0.0936401801174529</c:v>
                </c:pt>
                <c:pt idx="32">
                  <c:v>0.0875785133878947</c:v>
                </c:pt>
                <c:pt idx="33">
                  <c:v>0.0816092314525258</c:v>
                </c:pt>
                <c:pt idx="34">
                  <c:v>0.0757302382536226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203040"/>
        <c:axId val="2053201120"/>
      </c:lineChart>
      <c:catAx>
        <c:axId val="205320304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1120"/>
        <c:crosses val="autoZero"/>
        <c:auto val="1"/>
        <c:lblAlgn val="ctr"/>
        <c:lblOffset val="100"/>
        <c:noMultiLvlLbl val="0"/>
      </c:catAx>
      <c:valAx>
        <c:axId val="205320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 CO2e/t Al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200"/>
      </a:pPr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Aluminium Procurement (Scope 3, Cat. 1)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842911111111111"/>
          <c:y val="0.0807274074074074"/>
          <c:w val="0.907753555555556"/>
          <c:h val="0.760302518182173"/>
        </c:manualLayout>
      </c:layout>
      <c:lineChart>
        <c:grouping val="standard"/>
        <c:varyColors val="0"/>
        <c:ser>
          <c:idx val="2"/>
          <c:order val="0"/>
          <c:tx>
            <c:strRef>
              <c:f>"Entity Casthouse Procurement Slope"</c:f>
              <c:strCache>
                <c:ptCount val="1"/>
                <c:pt idx="0">
                  <c:v>Entity Casthouse Procurement Slope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numRef>
              <c:f>'Casthouse &amp; Post-CH Data Entry'!$D$17:$AL$17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'Casthouse &amp; Post-CH Data Entry'!$D$11:$AL$11</c:f>
              <c:numCache>
                <c:formatCode>0.0</c:formatCode>
                <c:ptCount val="35"/>
                <c:pt idx="7">
                  <c:v>12.88</c:v>
                </c:pt>
                <c:pt idx="8" c:formatCode="0.000">
                  <c:v>11.592</c:v>
                </c:pt>
                <c:pt idx="9" c:formatCode="0.000">
                  <c:v>10.4328</c:v>
                </c:pt>
                <c:pt idx="10" c:formatCode="0.000">
                  <c:v>9.38952</c:v>
                </c:pt>
                <c:pt idx="11" c:formatCode="0.000">
                  <c:v>8.450568</c:v>
                </c:pt>
                <c:pt idx="12" c:formatCode="0.000">
                  <c:v>7.6055112</c:v>
                </c:pt>
                <c:pt idx="13" c:formatCode="0.000">
                  <c:v>6.84496008</c:v>
                </c:pt>
                <c:pt idx="14" c:formatCode="0.000">
                  <c:v>6.160464072</c:v>
                </c:pt>
                <c:pt idx="15" c:formatCode="0.000">
                  <c:v>4.9283712576</c:v>
                </c:pt>
                <c:pt idx="16" c:formatCode="0.000">
                  <c:v>3.94269700608</c:v>
                </c:pt>
                <c:pt idx="17" c:formatCode="0.000">
                  <c:v>3.154157604864</c:v>
                </c:pt>
                <c:pt idx="18" c:formatCode="0.000">
                  <c:v>2.5233260838912</c:v>
                </c:pt>
                <c:pt idx="19" c:formatCode="0.000">
                  <c:v>2.01866086711296</c:v>
                </c:pt>
                <c:pt idx="20" c:formatCode="0.000">
                  <c:v>1.61492869369037</c:v>
                </c:pt>
                <c:pt idx="21" c:formatCode="0.000">
                  <c:v>1.2919429549523</c:v>
                </c:pt>
                <c:pt idx="22" c:formatCode="0.000">
                  <c:v>1.03355436396184</c:v>
                </c:pt>
                <c:pt idx="23" c:formatCode="0.000">
                  <c:v>0.826843491169469</c:v>
                </c:pt>
                <c:pt idx="24" c:formatCode="0.000">
                  <c:v>0.661474792935575</c:v>
                </c:pt>
                <c:pt idx="25" c:formatCode="0.000">
                  <c:v>0.562253573995239</c:v>
                </c:pt>
                <c:pt idx="26" c:formatCode="0.000">
                  <c:v>0.477915537895953</c:v>
                </c:pt>
                <c:pt idx="27" c:formatCode="0.000">
                  <c:v>0.40622820721156</c:v>
                </c:pt>
                <c:pt idx="28" c:formatCode="0.000">
                  <c:v>0.345293976129826</c:v>
                </c:pt>
                <c:pt idx="29" c:formatCode="0.000">
                  <c:v>0.293499879710352</c:v>
                </c:pt>
                <c:pt idx="30" c:formatCode="0.000">
                  <c:v>0.249474897753799</c:v>
                </c:pt>
                <c:pt idx="31" c:formatCode="0.000">
                  <c:v>0.212053663090729</c:v>
                </c:pt>
                <c:pt idx="32" c:formatCode="0.000">
                  <c:v>0.18024561362712</c:v>
                </c:pt>
                <c:pt idx="33" c:formatCode="0.000">
                  <c:v>0.153208771583052</c:v>
                </c:pt>
                <c:pt idx="34" c:formatCode="0.000">
                  <c:v>0.130227455845594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"Sector Casthouse Procurement"</c:f>
              <c:strCache>
                <c:ptCount val="1"/>
                <c:pt idx="0">
                  <c:v>Sector Casthouse Procurement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'Casthouse &amp; Post-CH Data Entry'!$D$17:$AL$17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'Casthouse Proc''ment Data Table'!$B$2:$AJ$2</c:f>
              <c:numCache>
                <c:formatCode>0.00</c:formatCode>
                <c:ptCount val="35"/>
                <c:pt idx="0">
                  <c:v>8.019518751989</c:v>
                </c:pt>
                <c:pt idx="1">
                  <c:v>8.019518751989</c:v>
                </c:pt>
                <c:pt idx="2">
                  <c:v>8.019518751989</c:v>
                </c:pt>
                <c:pt idx="3">
                  <c:v>7.82718884118299</c:v>
                </c:pt>
                <c:pt idx="4">
                  <c:v>7.36222006488972</c:v>
                </c:pt>
                <c:pt idx="5">
                  <c:v>7.42722383635967</c:v>
                </c:pt>
                <c:pt idx="6">
                  <c:v>7.2253994641217</c:v>
                </c:pt>
                <c:pt idx="7">
                  <c:v>6.83498415647625</c:v>
                </c:pt>
                <c:pt idx="8">
                  <c:v>6.61566842936383</c:v>
                </c:pt>
                <c:pt idx="9">
                  <c:v>6.39053619891348</c:v>
                </c:pt>
                <c:pt idx="10">
                  <c:v>6.03491349281585</c:v>
                </c:pt>
                <c:pt idx="11">
                  <c:v>5.99175195121645</c:v>
                </c:pt>
                <c:pt idx="12">
                  <c:v>5.70036288463635</c:v>
                </c:pt>
                <c:pt idx="13">
                  <c:v>5.39821665318497</c:v>
                </c:pt>
                <c:pt idx="14">
                  <c:v>5.04101727344669</c:v>
                </c:pt>
                <c:pt idx="15">
                  <c:v>4.34677869179414</c:v>
                </c:pt>
                <c:pt idx="16">
                  <c:v>3.41022880145298</c:v>
                </c:pt>
                <c:pt idx="17">
                  <c:v>3.11156119621534</c:v>
                </c:pt>
                <c:pt idx="18">
                  <c:v>2.46234189564895</c:v>
                </c:pt>
                <c:pt idx="19">
                  <c:v>1.80807887342226</c:v>
                </c:pt>
                <c:pt idx="20">
                  <c:v>1.68691257717023</c:v>
                </c:pt>
                <c:pt idx="21">
                  <c:v>1.32131347798761</c:v>
                </c:pt>
                <c:pt idx="22">
                  <c:v>1.13579258703788</c:v>
                </c:pt>
                <c:pt idx="23">
                  <c:v>0.942819749865848</c:v>
                </c:pt>
                <c:pt idx="24">
                  <c:v>0.912665653281024</c:v>
                </c:pt>
                <c:pt idx="25">
                  <c:v>0.824829624928652</c:v>
                </c:pt>
                <c:pt idx="26">
                  <c:v>0.696570364797816</c:v>
                </c:pt>
                <c:pt idx="27">
                  <c:v>0.591522072645002</c:v>
                </c:pt>
                <c:pt idx="28">
                  <c:v>0.574147932491065</c:v>
                </c:pt>
                <c:pt idx="29">
                  <c:v>0.503294131354652</c:v>
                </c:pt>
                <c:pt idx="30">
                  <c:v>0.459385620315545</c:v>
                </c:pt>
                <c:pt idx="31">
                  <c:v>0.426457381574058</c:v>
                </c:pt>
                <c:pt idx="32">
                  <c:v>0.303067610332427</c:v>
                </c:pt>
                <c:pt idx="33">
                  <c:v>0.233439529112877</c:v>
                </c:pt>
                <c:pt idx="34">
                  <c:v>0.200241824820087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203040"/>
        <c:axId val="2053201120"/>
      </c:lineChart>
      <c:catAx>
        <c:axId val="205320304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1120"/>
        <c:crosses val="autoZero"/>
        <c:auto val="1"/>
        <c:lblAlgn val="ctr"/>
        <c:lblOffset val="100"/>
        <c:noMultiLvlLbl val="0"/>
      </c:catAx>
      <c:valAx>
        <c:axId val="205320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 CO2e/t Al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200"/>
      </a:pPr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Process (Scope 1 &amp; 2)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842911111111111"/>
          <c:y val="0.0807274074074074"/>
          <c:w val="0.907753555555556"/>
          <c:h val="0.740200185185185"/>
        </c:manualLayout>
      </c:layout>
      <c:lineChart>
        <c:grouping val="standard"/>
        <c:varyColors val="0"/>
        <c:ser>
          <c:idx val="0"/>
          <c:order val="0"/>
          <c:tx>
            <c:strRef>
              <c:f>"Entity Semis Process Slope"</c:f>
              <c:strCache>
                <c:ptCount val="1"/>
                <c:pt idx="0">
                  <c:v>Entity Semis Process Slope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numRef>
              <c:f>'Casthouse &amp; Post-CH Data Entry'!$D$13:$AL$13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'Casthouse &amp; Post-CH Data Entry'!$D$14:$AL$14</c:f>
              <c:numCache>
                <c:formatCode>0.000</c:formatCode>
                <c:ptCount val="35"/>
                <c:pt idx="7">
                  <c:v>0.57</c:v>
                </c:pt>
                <c:pt idx="8">
                  <c:v>0.513</c:v>
                </c:pt>
                <c:pt idx="9">
                  <c:v>0.4617</c:v>
                </c:pt>
                <c:pt idx="10">
                  <c:v>0.41553</c:v>
                </c:pt>
                <c:pt idx="11">
                  <c:v>0.373977</c:v>
                </c:pt>
                <c:pt idx="12">
                  <c:v>0.3365793</c:v>
                </c:pt>
                <c:pt idx="13">
                  <c:v>0.30292137</c:v>
                </c:pt>
                <c:pt idx="14">
                  <c:v>0.272629233</c:v>
                </c:pt>
                <c:pt idx="15">
                  <c:v>0.2453663097</c:v>
                </c:pt>
                <c:pt idx="16">
                  <c:v>0.22082967873</c:v>
                </c:pt>
                <c:pt idx="17">
                  <c:v>0.198746710857</c:v>
                </c:pt>
                <c:pt idx="18">
                  <c:v>0.1788720397713</c:v>
                </c:pt>
                <c:pt idx="19">
                  <c:v>0.16098483579417</c:v>
                </c:pt>
                <c:pt idx="20">
                  <c:v>0.144886352214753</c:v>
                </c:pt>
                <c:pt idx="21">
                  <c:v>0.130397716993278</c:v>
                </c:pt>
                <c:pt idx="22">
                  <c:v>0.11735794529395</c:v>
                </c:pt>
                <c:pt idx="23">
                  <c:v>0.105622150764555</c:v>
                </c:pt>
                <c:pt idx="24">
                  <c:v>0.0950599356880995</c:v>
                </c:pt>
                <c:pt idx="25">
                  <c:v>0.0855539421192895</c:v>
                </c:pt>
                <c:pt idx="26">
                  <c:v>0.0769985479073605</c:v>
                </c:pt>
                <c:pt idx="27">
                  <c:v>0.0692986931166245</c:v>
                </c:pt>
                <c:pt idx="28">
                  <c:v>0.062368823804962</c:v>
                </c:pt>
                <c:pt idx="29">
                  <c:v>0.0561319414244658</c:v>
                </c:pt>
                <c:pt idx="30">
                  <c:v>0.0505187472820193</c:v>
                </c:pt>
                <c:pt idx="31">
                  <c:v>0.0454668725538173</c:v>
                </c:pt>
                <c:pt idx="32">
                  <c:v>0.0409201852984356</c:v>
                </c:pt>
                <c:pt idx="33">
                  <c:v>0.036828166768592</c:v>
                </c:pt>
                <c:pt idx="34">
                  <c:v>0.0331453500917328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"Sector Semis Process"</c:f>
              <c:strCache>
                <c:ptCount val="1"/>
                <c:pt idx="0">
                  <c:v>Sector Semis Process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'Casthouse &amp; Post-CH Data Entry'!$D$13:$AL$13</c:f>
              <c:numCache>
                <c:formatCode>0</c:formatCode>
                <c:ptCount val="35"/>
                <c:pt idx="0" c:formatCode="0">
                  <c:v>2016</c:v>
                </c:pt>
                <c:pt idx="1" c:formatCode="0">
                  <c:v>2017</c:v>
                </c:pt>
                <c:pt idx="2" c:formatCode="0">
                  <c:v>2018</c:v>
                </c:pt>
                <c:pt idx="3" c:formatCode="0">
                  <c:v>2019</c:v>
                </c:pt>
                <c:pt idx="4" c:formatCode="0">
                  <c:v>2020</c:v>
                </c:pt>
                <c:pt idx="5" c:formatCode="0">
                  <c:v>2021</c:v>
                </c:pt>
                <c:pt idx="6" c:formatCode="0">
                  <c:v>2022</c:v>
                </c:pt>
                <c:pt idx="7" c:formatCode="0">
                  <c:v>2023</c:v>
                </c:pt>
                <c:pt idx="8" c:formatCode="0">
                  <c:v>2024</c:v>
                </c:pt>
                <c:pt idx="9" c:formatCode="0">
                  <c:v>2025</c:v>
                </c:pt>
                <c:pt idx="10" c:formatCode="0">
                  <c:v>2026</c:v>
                </c:pt>
                <c:pt idx="11" c:formatCode="0">
                  <c:v>2027</c:v>
                </c:pt>
                <c:pt idx="12" c:formatCode="0">
                  <c:v>2028</c:v>
                </c:pt>
                <c:pt idx="13" c:formatCode="0">
                  <c:v>2029</c:v>
                </c:pt>
                <c:pt idx="14" c:formatCode="0">
                  <c:v>2030</c:v>
                </c:pt>
                <c:pt idx="15" c:formatCode="0">
                  <c:v>2031</c:v>
                </c:pt>
                <c:pt idx="16" c:formatCode="0">
                  <c:v>2032</c:v>
                </c:pt>
                <c:pt idx="17" c:formatCode="0">
                  <c:v>2033</c:v>
                </c:pt>
                <c:pt idx="18" c:formatCode="0">
                  <c:v>2034</c:v>
                </c:pt>
                <c:pt idx="19" c:formatCode="0">
                  <c:v>2035</c:v>
                </c:pt>
                <c:pt idx="20" c:formatCode="0">
                  <c:v>2036</c:v>
                </c:pt>
                <c:pt idx="21" c:formatCode="0">
                  <c:v>2037</c:v>
                </c:pt>
                <c:pt idx="22" c:formatCode="0">
                  <c:v>2038</c:v>
                </c:pt>
                <c:pt idx="23" c:formatCode="0">
                  <c:v>2039</c:v>
                </c:pt>
                <c:pt idx="24" c:formatCode="0">
                  <c:v>2040</c:v>
                </c:pt>
                <c:pt idx="25" c:formatCode="0">
                  <c:v>2041</c:v>
                </c:pt>
                <c:pt idx="26" c:formatCode="0">
                  <c:v>2042</c:v>
                </c:pt>
                <c:pt idx="27" c:formatCode="0">
                  <c:v>2043</c:v>
                </c:pt>
                <c:pt idx="28" c:formatCode="0">
                  <c:v>2044</c:v>
                </c:pt>
                <c:pt idx="29" c:formatCode="0">
                  <c:v>2045</c:v>
                </c:pt>
                <c:pt idx="30" c:formatCode="0">
                  <c:v>2046</c:v>
                </c:pt>
                <c:pt idx="31" c:formatCode="0">
                  <c:v>2047</c:v>
                </c:pt>
                <c:pt idx="32" c:formatCode="0">
                  <c:v>2048</c:v>
                </c:pt>
                <c:pt idx="33" c:formatCode="0">
                  <c:v>2049</c:v>
                </c:pt>
                <c:pt idx="34" c:formatCode="0">
                  <c:v>2050</c:v>
                </c:pt>
              </c:numCache>
            </c:numRef>
          </c:cat>
          <c:val>
            <c:numRef>
              <c:f>'Semis G2G Data Table'!$B$2:$AJ$2</c:f>
              <c:numCache>
                <c:formatCode>0.000</c:formatCode>
                <c:ptCount val="3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0.293010709316617</c:v>
                </c:pt>
                <c:pt idx="4">
                  <c:v>0.286021418633234</c:v>
                </c:pt>
                <c:pt idx="5">
                  <c:v>0.27903212794985</c:v>
                </c:pt>
                <c:pt idx="6">
                  <c:v>0.272042837266467</c:v>
                </c:pt>
                <c:pt idx="7">
                  <c:v>0.265053546583084</c:v>
                </c:pt>
                <c:pt idx="8">
                  <c:v>0.258064255899701</c:v>
                </c:pt>
                <c:pt idx="9">
                  <c:v>0.251074965216317</c:v>
                </c:pt>
                <c:pt idx="10">
                  <c:v>0.244085674532934</c:v>
                </c:pt>
                <c:pt idx="11">
                  <c:v>0.237096383849551</c:v>
                </c:pt>
                <c:pt idx="12">
                  <c:v>0.230107093166168</c:v>
                </c:pt>
                <c:pt idx="13">
                  <c:v>0.223117802482785</c:v>
                </c:pt>
                <c:pt idx="14">
                  <c:v>0.216128511799401</c:v>
                </c:pt>
                <c:pt idx="15">
                  <c:v>0.211638420287961</c:v>
                </c:pt>
                <c:pt idx="16">
                  <c:v>0.20714832877652</c:v>
                </c:pt>
                <c:pt idx="17">
                  <c:v>0.20265823726508</c:v>
                </c:pt>
                <c:pt idx="18">
                  <c:v>0.198168145753639</c:v>
                </c:pt>
                <c:pt idx="19">
                  <c:v>0.193678054242199</c:v>
                </c:pt>
                <c:pt idx="20">
                  <c:v>0.188199568919312</c:v>
                </c:pt>
                <c:pt idx="21">
                  <c:v>0.182721083596425</c:v>
                </c:pt>
                <c:pt idx="22">
                  <c:v>0.177242598273538</c:v>
                </c:pt>
                <c:pt idx="23">
                  <c:v>0.171764112950651</c:v>
                </c:pt>
                <c:pt idx="24">
                  <c:v>0.166285627627764</c:v>
                </c:pt>
                <c:pt idx="25">
                  <c:v>0.162140699537888</c:v>
                </c:pt>
                <c:pt idx="26">
                  <c:v>0.157995771448012</c:v>
                </c:pt>
                <c:pt idx="27">
                  <c:v>0.153850843358135</c:v>
                </c:pt>
                <c:pt idx="28">
                  <c:v>0.149705915268259</c:v>
                </c:pt>
                <c:pt idx="29">
                  <c:v>0.145560987178383</c:v>
                </c:pt>
                <c:pt idx="30">
                  <c:v>0.127707045729654</c:v>
                </c:pt>
                <c:pt idx="31">
                  <c:v>0.109853104280926</c:v>
                </c:pt>
                <c:pt idx="32">
                  <c:v>0.0919991628321977</c:v>
                </c:pt>
                <c:pt idx="33">
                  <c:v>0.0741452213834694</c:v>
                </c:pt>
                <c:pt idx="34">
                  <c:v>0.0562912799347411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203040"/>
        <c:axId val="2053201120"/>
      </c:lineChart>
      <c:catAx>
        <c:axId val="205320304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1120"/>
        <c:crosses val="autoZero"/>
        <c:auto val="1"/>
        <c:lblAlgn val="ctr"/>
        <c:lblOffset val="100"/>
        <c:noMultiLvlLbl val="0"/>
      </c:catAx>
      <c:valAx>
        <c:axId val="205320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 CO2e/t Al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5320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200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18</xdr:row>
      <xdr:rowOff>101600</xdr:rowOff>
    </xdr:from>
    <xdr:to>
      <xdr:col>1</xdr:col>
      <xdr:colOff>2616200</xdr:colOff>
      <xdr:row>22</xdr:row>
      <xdr:rowOff>29176</xdr:rowOff>
    </xdr:to>
    <xdr:pic>
      <xdr:nvPicPr>
        <xdr:cNvPr id="5" name="Picture 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" y="4121150"/>
          <a:ext cx="2616200" cy="6127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383583</xdr:colOff>
      <xdr:row>34</xdr:row>
      <xdr:rowOff>33042</xdr:rowOff>
    </xdr:to>
    <xdr:graphicFrame>
      <xdr:nvGraphicFramePr>
        <xdr:cNvPr id="2" name="Chart 1"/>
        <xdr:cNvGraphicFramePr>
          <a:graphicFrameLocks noGrp="1"/>
        </xdr:cNvGraphicFramePr>
      </xdr:nvGraphicFramePr>
      <xdr:xfrm>
        <a:off x="0" y="0"/>
        <a:ext cx="9298940" cy="5862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383583</xdr:colOff>
      <xdr:row>34</xdr:row>
      <xdr:rowOff>33042</xdr:rowOff>
    </xdr:to>
    <xdr:graphicFrame>
      <xdr:nvGraphicFramePr>
        <xdr:cNvPr id="2" name="Chart 1"/>
        <xdr:cNvGraphicFramePr>
          <a:graphicFrameLocks noGrp="1"/>
        </xdr:cNvGraphicFramePr>
      </xdr:nvGraphicFramePr>
      <xdr:xfrm>
        <a:off x="0" y="0"/>
        <a:ext cx="9298940" cy="5862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383583</xdr:colOff>
      <xdr:row>34</xdr:row>
      <xdr:rowOff>33042</xdr:rowOff>
    </xdr:to>
    <xdr:graphicFrame>
      <xdr:nvGraphicFramePr>
        <xdr:cNvPr id="2" name="Chart 1"/>
        <xdr:cNvGraphicFramePr>
          <a:graphicFrameLocks noGrp="1"/>
        </xdr:cNvGraphicFramePr>
      </xdr:nvGraphicFramePr>
      <xdr:xfrm>
        <a:off x="0" y="0"/>
        <a:ext cx="9298940" cy="5862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104775</xdr:colOff>
      <xdr:row>27</xdr:row>
      <xdr:rowOff>33336</xdr:rowOff>
    </xdr:from>
    <xdr:to>
      <xdr:col>22</xdr:col>
      <xdr:colOff>304800</xdr:colOff>
      <xdr:row>54</xdr:row>
      <xdr:rowOff>76199</xdr:rowOff>
    </xdr:to>
    <xdr:graphicFrame>
      <xdr:nvGraphicFramePr>
        <xdr:cNvPr id="2" name="Chart 1"/>
        <xdr:cNvGraphicFramePr/>
      </xdr:nvGraphicFramePr>
      <xdr:xfrm>
        <a:off x="10620375" y="4662170"/>
        <a:ext cx="12315825" cy="46716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</xdr:colOff>
      <xdr:row>63</xdr:row>
      <xdr:rowOff>104775</xdr:rowOff>
    </xdr:from>
    <xdr:to>
      <xdr:col>7</xdr:col>
      <xdr:colOff>571500</xdr:colOff>
      <xdr:row>63</xdr:row>
      <xdr:rowOff>104775</xdr:rowOff>
    </xdr:to>
    <xdr:cxnSp>
      <xdr:nvCxnSpPr>
        <xdr:cNvPr id="3" name="Straight Arrow Connector 2"/>
        <xdr:cNvCxnSpPr/>
      </xdr:nvCxnSpPr>
      <xdr:spPr>
        <a:xfrm>
          <a:off x="12553950" y="10944225"/>
          <a:ext cx="552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63</xdr:row>
      <xdr:rowOff>114300</xdr:rowOff>
    </xdr:from>
    <xdr:to>
      <xdr:col>9</xdr:col>
      <xdr:colOff>723900</xdr:colOff>
      <xdr:row>63</xdr:row>
      <xdr:rowOff>114300</xdr:rowOff>
    </xdr:to>
    <xdr:cxnSp>
      <xdr:nvCxnSpPr>
        <xdr:cNvPr id="4" name="Straight Arrow Connector 3"/>
        <xdr:cNvCxnSpPr/>
      </xdr:nvCxnSpPr>
      <xdr:spPr>
        <a:xfrm>
          <a:off x="13938250" y="10953750"/>
          <a:ext cx="6159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63</xdr:row>
      <xdr:rowOff>104775</xdr:rowOff>
    </xdr:from>
    <xdr:to>
      <xdr:col>11</xdr:col>
      <xdr:colOff>581025</xdr:colOff>
      <xdr:row>63</xdr:row>
      <xdr:rowOff>104775</xdr:rowOff>
    </xdr:to>
    <xdr:cxnSp>
      <xdr:nvCxnSpPr>
        <xdr:cNvPr id="5" name="Straight Arrow Connector 4"/>
        <xdr:cNvCxnSpPr/>
      </xdr:nvCxnSpPr>
      <xdr:spPr>
        <a:xfrm>
          <a:off x="15255875" y="10944225"/>
          <a:ext cx="552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</xdr:colOff>
      <xdr:row>63</xdr:row>
      <xdr:rowOff>104775</xdr:rowOff>
    </xdr:from>
    <xdr:to>
      <xdr:col>13</xdr:col>
      <xdr:colOff>600075</xdr:colOff>
      <xdr:row>63</xdr:row>
      <xdr:rowOff>104775</xdr:rowOff>
    </xdr:to>
    <xdr:cxnSp>
      <xdr:nvCxnSpPr>
        <xdr:cNvPr id="6" name="Straight Arrow Connector 5"/>
        <xdr:cNvCxnSpPr/>
      </xdr:nvCxnSpPr>
      <xdr:spPr>
        <a:xfrm>
          <a:off x="16621125" y="10944225"/>
          <a:ext cx="552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63</xdr:row>
      <xdr:rowOff>114300</xdr:rowOff>
    </xdr:from>
    <xdr:to>
      <xdr:col>15</xdr:col>
      <xdr:colOff>552450</xdr:colOff>
      <xdr:row>63</xdr:row>
      <xdr:rowOff>114300</xdr:rowOff>
    </xdr:to>
    <xdr:cxnSp>
      <xdr:nvCxnSpPr>
        <xdr:cNvPr id="7" name="Straight Arrow Connector 6"/>
        <xdr:cNvCxnSpPr/>
      </xdr:nvCxnSpPr>
      <xdr:spPr>
        <a:xfrm>
          <a:off x="17919700" y="10953750"/>
          <a:ext cx="552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323850</xdr:colOff>
      <xdr:row>63</xdr:row>
      <xdr:rowOff>171450</xdr:rowOff>
    </xdr:from>
    <xdr:to>
      <xdr:col>14</xdr:col>
      <xdr:colOff>333375</xdr:colOff>
      <xdr:row>67</xdr:row>
      <xdr:rowOff>0</xdr:rowOff>
    </xdr:to>
    <xdr:cxnSp>
      <xdr:nvCxnSpPr>
        <xdr:cNvPr id="8" name="Straight Arrow Connector 7"/>
        <xdr:cNvCxnSpPr/>
      </xdr:nvCxnSpPr>
      <xdr:spPr>
        <a:xfrm>
          <a:off x="17570450" y="11010900"/>
          <a:ext cx="9525" cy="533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609600</xdr:colOff>
      <xdr:row>64</xdr:row>
      <xdr:rowOff>57150</xdr:rowOff>
    </xdr:from>
    <xdr:to>
      <xdr:col>13</xdr:col>
      <xdr:colOff>600075</xdr:colOff>
      <xdr:row>67</xdr:row>
      <xdr:rowOff>123825</xdr:rowOff>
    </xdr:to>
    <xdr:cxnSp>
      <xdr:nvCxnSpPr>
        <xdr:cNvPr id="9" name="Straight Arrow Connector 8"/>
        <xdr:cNvCxnSpPr/>
      </xdr:nvCxnSpPr>
      <xdr:spPr>
        <a:xfrm flipH="1" flipV="1">
          <a:off x="15163800" y="11077575"/>
          <a:ext cx="2009775" cy="590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47625</xdr:colOff>
      <xdr:row>63</xdr:row>
      <xdr:rowOff>104775</xdr:rowOff>
    </xdr:from>
    <xdr:to>
      <xdr:col>17</xdr:col>
      <xdr:colOff>600075</xdr:colOff>
      <xdr:row>63</xdr:row>
      <xdr:rowOff>104775</xdr:rowOff>
    </xdr:to>
    <xdr:cxnSp>
      <xdr:nvCxnSpPr>
        <xdr:cNvPr id="10" name="Straight Arrow Connector 9"/>
        <xdr:cNvCxnSpPr/>
      </xdr:nvCxnSpPr>
      <xdr:spPr>
        <a:xfrm>
          <a:off x="19313525" y="10944225"/>
          <a:ext cx="552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63</xdr:row>
      <xdr:rowOff>95250</xdr:rowOff>
    </xdr:from>
    <xdr:to>
      <xdr:col>19</xdr:col>
      <xdr:colOff>581025</xdr:colOff>
      <xdr:row>63</xdr:row>
      <xdr:rowOff>95250</xdr:rowOff>
    </xdr:to>
    <xdr:cxnSp>
      <xdr:nvCxnSpPr>
        <xdr:cNvPr id="11" name="Straight Arrow Connector 10"/>
        <xdr:cNvCxnSpPr/>
      </xdr:nvCxnSpPr>
      <xdr:spPr>
        <a:xfrm>
          <a:off x="20640675" y="10934700"/>
          <a:ext cx="552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28575</xdr:colOff>
      <xdr:row>57</xdr:row>
      <xdr:rowOff>114300</xdr:rowOff>
    </xdr:from>
    <xdr:to>
      <xdr:col>18</xdr:col>
      <xdr:colOff>266700</xdr:colOff>
      <xdr:row>62</xdr:row>
      <xdr:rowOff>180975</xdr:rowOff>
    </xdr:to>
    <xdr:cxnSp>
      <xdr:nvCxnSpPr>
        <xdr:cNvPr id="12" name="Straight Arrow Connector 11"/>
        <xdr:cNvCxnSpPr/>
      </xdr:nvCxnSpPr>
      <xdr:spPr>
        <a:xfrm flipH="1" flipV="1">
          <a:off x="19294475" y="9896475"/>
          <a:ext cx="911225" cy="942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628650</xdr:colOff>
      <xdr:row>57</xdr:row>
      <xdr:rowOff>85725</xdr:rowOff>
    </xdr:from>
    <xdr:to>
      <xdr:col>15</xdr:col>
      <xdr:colOff>581025</xdr:colOff>
      <xdr:row>62</xdr:row>
      <xdr:rowOff>180975</xdr:rowOff>
    </xdr:to>
    <xdr:cxnSp>
      <xdr:nvCxnSpPr>
        <xdr:cNvPr id="13" name="Straight Arrow Connector 12"/>
        <xdr:cNvCxnSpPr/>
      </xdr:nvCxnSpPr>
      <xdr:spPr>
        <a:xfrm flipH="1">
          <a:off x="15182850" y="9867900"/>
          <a:ext cx="3317875" cy="971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552450</xdr:colOff>
      <xdr:row>59</xdr:row>
      <xdr:rowOff>28575</xdr:rowOff>
    </xdr:from>
    <xdr:to>
      <xdr:col>10</xdr:col>
      <xdr:colOff>561975</xdr:colOff>
      <xdr:row>62</xdr:row>
      <xdr:rowOff>66675</xdr:rowOff>
    </xdr:to>
    <xdr:cxnSp>
      <xdr:nvCxnSpPr>
        <xdr:cNvPr id="14" name="Straight Arrow Connector 13"/>
        <xdr:cNvCxnSpPr/>
      </xdr:nvCxnSpPr>
      <xdr:spPr>
        <a:xfrm>
          <a:off x="15106650" y="10172700"/>
          <a:ext cx="9525" cy="552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0</xdr:col>
      <xdr:colOff>2025650</xdr:colOff>
      <xdr:row>4</xdr:row>
      <xdr:rowOff>157313</xdr:rowOff>
    </xdr:to>
    <xdr:pic>
      <xdr:nvPicPr>
        <xdr:cNvPr id="2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0"/>
          <a:ext cx="1873250" cy="9474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36</xdr:col>
      <xdr:colOff>133350</xdr:colOff>
      <xdr:row>1</xdr:row>
      <xdr:rowOff>47625</xdr:rowOff>
    </xdr:from>
    <xdr:to>
      <xdr:col>44</xdr:col>
      <xdr:colOff>106983</xdr:colOff>
      <xdr:row>24</xdr:row>
      <xdr:rowOff>17463</xdr:rowOff>
    </xdr:to>
    <xdr:pic>
      <xdr:nvPicPr>
        <xdr:cNvPr id="2" name="Content Placeholder 9"/>
        <xdr:cNvPicPr>
          <a:picLocks noGrp="1" noChangeAspect="1"/>
        </xdr:cNvPicPr>
      </xdr:nvPicPr>
      <xdr:blipFill>
        <a:blip r:embed="rId1"/>
        <a:srcRect b="22762"/>
        <a:stretch>
          <a:fillRect/>
        </a:stretch>
      </xdr:blipFill>
      <xdr:spPr>
        <a:xfrm>
          <a:off x="27552650" y="219075"/>
          <a:ext cx="5358130" cy="391287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37</xdr:col>
      <xdr:colOff>400050</xdr:colOff>
      <xdr:row>1</xdr:row>
      <xdr:rowOff>180975</xdr:rowOff>
    </xdr:from>
    <xdr:to>
      <xdr:col>45</xdr:col>
      <xdr:colOff>373683</xdr:colOff>
      <xdr:row>24</xdr:row>
      <xdr:rowOff>150813</xdr:rowOff>
    </xdr:to>
    <xdr:pic>
      <xdr:nvPicPr>
        <xdr:cNvPr id="2" name="Content Placeholder 9"/>
        <xdr:cNvPicPr>
          <a:picLocks noGrp="1" noChangeAspect="1"/>
        </xdr:cNvPicPr>
      </xdr:nvPicPr>
      <xdr:blipFill>
        <a:blip r:embed="rId1"/>
        <a:srcRect b="22762"/>
        <a:stretch>
          <a:fillRect/>
        </a:stretch>
      </xdr:blipFill>
      <xdr:spPr>
        <a:xfrm>
          <a:off x="28492450" y="342900"/>
          <a:ext cx="5358130" cy="392239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37</xdr:col>
      <xdr:colOff>152400</xdr:colOff>
      <xdr:row>2</xdr:row>
      <xdr:rowOff>28575</xdr:rowOff>
    </xdr:from>
    <xdr:to>
      <xdr:col>45</xdr:col>
      <xdr:colOff>126033</xdr:colOff>
      <xdr:row>25</xdr:row>
      <xdr:rowOff>11113</xdr:rowOff>
    </xdr:to>
    <xdr:pic>
      <xdr:nvPicPr>
        <xdr:cNvPr id="2" name="Content Placeholder 9"/>
        <xdr:cNvPicPr>
          <a:picLocks noGrp="1" noChangeAspect="1"/>
        </xdr:cNvPicPr>
      </xdr:nvPicPr>
      <xdr:blipFill>
        <a:blip r:embed="rId1"/>
        <a:srcRect b="22762"/>
        <a:stretch>
          <a:fillRect/>
        </a:stretch>
      </xdr:blipFill>
      <xdr:spPr>
        <a:xfrm>
          <a:off x="28244800" y="371475"/>
          <a:ext cx="5358130" cy="392557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36</xdr:col>
      <xdr:colOff>438150</xdr:colOff>
      <xdr:row>1</xdr:row>
      <xdr:rowOff>9525</xdr:rowOff>
    </xdr:from>
    <xdr:to>
      <xdr:col>44</xdr:col>
      <xdr:colOff>411783</xdr:colOff>
      <xdr:row>23</xdr:row>
      <xdr:rowOff>169863</xdr:rowOff>
    </xdr:to>
    <xdr:pic>
      <xdr:nvPicPr>
        <xdr:cNvPr id="2" name="Content Placeholder 9"/>
        <xdr:cNvPicPr>
          <a:picLocks noGrp="1" noChangeAspect="1"/>
        </xdr:cNvPicPr>
      </xdr:nvPicPr>
      <xdr:blipFill>
        <a:blip r:embed="rId1"/>
        <a:srcRect b="22762"/>
        <a:stretch>
          <a:fillRect/>
        </a:stretch>
      </xdr:blipFill>
      <xdr:spPr>
        <a:xfrm>
          <a:off x="27082750" y="180975"/>
          <a:ext cx="5358130" cy="393192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36</xdr:col>
      <xdr:colOff>428625</xdr:colOff>
      <xdr:row>0</xdr:row>
      <xdr:rowOff>114300</xdr:rowOff>
    </xdr:from>
    <xdr:to>
      <xdr:col>44</xdr:col>
      <xdr:colOff>402258</xdr:colOff>
      <xdr:row>23</xdr:row>
      <xdr:rowOff>84138</xdr:rowOff>
    </xdr:to>
    <xdr:pic>
      <xdr:nvPicPr>
        <xdr:cNvPr id="2" name="Content Placeholder 9"/>
        <xdr:cNvPicPr>
          <a:picLocks noGrp="1" noChangeAspect="1"/>
        </xdr:cNvPicPr>
      </xdr:nvPicPr>
      <xdr:blipFill>
        <a:blip r:embed="rId1"/>
        <a:srcRect b="22762"/>
        <a:stretch>
          <a:fillRect/>
        </a:stretch>
      </xdr:blipFill>
      <xdr:spPr>
        <a:xfrm>
          <a:off x="27936825" y="114300"/>
          <a:ext cx="5358130" cy="39128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460375</xdr:colOff>
      <xdr:row>5</xdr:row>
      <xdr:rowOff>152400</xdr:rowOff>
    </xdr:from>
    <xdr:to>
      <xdr:col>2</xdr:col>
      <xdr:colOff>9144000</xdr:colOff>
      <xdr:row>26</xdr:row>
      <xdr:rowOff>133350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29175" y="5105400"/>
          <a:ext cx="9382125" cy="3581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327025</xdr:colOff>
      <xdr:row>29</xdr:row>
      <xdr:rowOff>28575</xdr:rowOff>
    </xdr:from>
    <xdr:to>
      <xdr:col>8</xdr:col>
      <xdr:colOff>565150</xdr:colOff>
      <xdr:row>48</xdr:row>
      <xdr:rowOff>19050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95825" y="9096375"/>
          <a:ext cx="13992225" cy="3248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36</xdr:col>
      <xdr:colOff>476250</xdr:colOff>
      <xdr:row>1</xdr:row>
      <xdr:rowOff>0</xdr:rowOff>
    </xdr:from>
    <xdr:to>
      <xdr:col>44</xdr:col>
      <xdr:colOff>449883</xdr:colOff>
      <xdr:row>23</xdr:row>
      <xdr:rowOff>160338</xdr:rowOff>
    </xdr:to>
    <xdr:pic>
      <xdr:nvPicPr>
        <xdr:cNvPr id="2" name="Content Placeholder 9"/>
        <xdr:cNvPicPr>
          <a:picLocks noGrp="1" noChangeAspect="1"/>
        </xdr:cNvPicPr>
      </xdr:nvPicPr>
      <xdr:blipFill>
        <a:blip r:embed="rId1"/>
        <a:srcRect b="22762"/>
        <a:stretch>
          <a:fillRect/>
        </a:stretch>
      </xdr:blipFill>
      <xdr:spPr>
        <a:xfrm>
          <a:off x="27539950" y="171450"/>
          <a:ext cx="5358130" cy="393192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36</xdr:col>
      <xdr:colOff>581025</xdr:colOff>
      <xdr:row>1</xdr:row>
      <xdr:rowOff>95250</xdr:rowOff>
    </xdr:from>
    <xdr:to>
      <xdr:col>44</xdr:col>
      <xdr:colOff>554658</xdr:colOff>
      <xdr:row>24</xdr:row>
      <xdr:rowOff>65088</xdr:rowOff>
    </xdr:to>
    <xdr:pic>
      <xdr:nvPicPr>
        <xdr:cNvPr id="2" name="Content Placeholder 9"/>
        <xdr:cNvPicPr>
          <a:picLocks noGrp="1" noChangeAspect="1"/>
        </xdr:cNvPicPr>
      </xdr:nvPicPr>
      <xdr:blipFill>
        <a:blip r:embed="rId1"/>
        <a:srcRect b="22762"/>
        <a:stretch>
          <a:fillRect/>
        </a:stretch>
      </xdr:blipFill>
      <xdr:spPr>
        <a:xfrm>
          <a:off x="27987625" y="266700"/>
          <a:ext cx="5358130" cy="391287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447675</xdr:colOff>
      <xdr:row>5</xdr:row>
      <xdr:rowOff>85725</xdr:rowOff>
    </xdr:from>
    <xdr:to>
      <xdr:col>20</xdr:col>
      <xdr:colOff>446456</xdr:colOff>
      <xdr:row>35</xdr:row>
      <xdr:rowOff>18344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942975"/>
          <a:ext cx="10768330" cy="50755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109009</xdr:colOff>
      <xdr:row>15</xdr:row>
      <xdr:rowOff>0</xdr:rowOff>
    </xdr:from>
    <xdr:to>
      <xdr:col>7</xdr:col>
      <xdr:colOff>283009</xdr:colOff>
      <xdr:row>43</xdr:row>
      <xdr:rowOff>66000</xdr:rowOff>
    </xdr:to>
    <xdr:graphicFrame>
      <xdr:nvGraphicFramePr>
        <xdr:cNvPr id="2" name="Chart 1"/>
        <xdr:cNvGraphicFramePr/>
      </xdr:nvGraphicFramePr>
      <xdr:xfrm>
        <a:off x="337185" y="3073400"/>
        <a:ext cx="11502390" cy="48660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120649</xdr:colOff>
      <xdr:row>15</xdr:row>
      <xdr:rowOff>63499</xdr:rowOff>
    </xdr:from>
    <xdr:to>
      <xdr:col>24</xdr:col>
      <xdr:colOff>447049</xdr:colOff>
      <xdr:row>43</xdr:row>
      <xdr:rowOff>129499</xdr:rowOff>
    </xdr:to>
    <xdr:graphicFrame>
      <xdr:nvGraphicFramePr>
        <xdr:cNvPr id="3" name="Chart 2"/>
        <xdr:cNvGraphicFramePr/>
      </xdr:nvGraphicFramePr>
      <xdr:xfrm>
        <a:off x="12375515" y="3136265"/>
        <a:ext cx="11503025" cy="4866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225425</xdr:colOff>
      <xdr:row>50</xdr:row>
      <xdr:rowOff>104775</xdr:rowOff>
    </xdr:from>
    <xdr:to>
      <xdr:col>7</xdr:col>
      <xdr:colOff>593725</xdr:colOff>
      <xdr:row>64</xdr:row>
      <xdr:rowOff>66675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5425" y="9178925"/>
          <a:ext cx="11925300" cy="23622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93</xdr:row>
      <xdr:rowOff>0</xdr:rowOff>
    </xdr:from>
    <xdr:to>
      <xdr:col>3</xdr:col>
      <xdr:colOff>4752975</xdr:colOff>
      <xdr:row>126</xdr:row>
      <xdr:rowOff>180975</xdr:rowOff>
    </xdr:to>
    <xdr:graphicFrame>
      <xdr:nvGraphicFramePr>
        <xdr:cNvPr id="4" name="Chart 3"/>
        <xdr:cNvGraphicFramePr/>
      </xdr:nvGraphicFramePr>
      <xdr:xfrm>
        <a:off x="190500" y="18710275"/>
        <a:ext cx="11099800" cy="58293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621070</xdr:colOff>
      <xdr:row>15</xdr:row>
      <xdr:rowOff>193162</xdr:rowOff>
    </xdr:from>
    <xdr:to>
      <xdr:col>13</xdr:col>
      <xdr:colOff>525820</xdr:colOff>
      <xdr:row>44</xdr:row>
      <xdr:rowOff>150965</xdr:rowOff>
    </xdr:to>
    <xdr:graphicFrame>
      <xdr:nvGraphicFramePr>
        <xdr:cNvPr id="2" name="Chart 1"/>
        <xdr:cNvGraphicFramePr/>
      </xdr:nvGraphicFramePr>
      <xdr:xfrm>
        <a:off x="3529330" y="2743200"/>
        <a:ext cx="12896850" cy="49510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457199</xdr:colOff>
      <xdr:row>14</xdr:row>
      <xdr:rowOff>19048</xdr:rowOff>
    </xdr:from>
    <xdr:to>
      <xdr:col>13</xdr:col>
      <xdr:colOff>361949</xdr:colOff>
      <xdr:row>42</xdr:row>
      <xdr:rowOff>171449</xdr:rowOff>
    </xdr:to>
    <xdr:graphicFrame>
      <xdr:nvGraphicFramePr>
        <xdr:cNvPr id="2" name="Chart 1"/>
        <xdr:cNvGraphicFramePr/>
      </xdr:nvGraphicFramePr>
      <xdr:xfrm>
        <a:off x="3364865" y="2418715"/>
        <a:ext cx="11957050" cy="4953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390506</xdr:colOff>
      <xdr:row>34</xdr:row>
      <xdr:rowOff>22578</xdr:rowOff>
    </xdr:to>
    <xdr:graphicFrame>
      <xdr:nvGraphicFramePr>
        <xdr:cNvPr id="2" name="Chart 1"/>
        <xdr:cNvGraphicFramePr>
          <a:graphicFrameLocks noGrp="1"/>
        </xdr:cNvGraphicFramePr>
      </xdr:nvGraphicFramePr>
      <xdr:xfrm>
        <a:off x="0" y="0"/>
        <a:ext cx="9305290" cy="58515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383583</xdr:colOff>
      <xdr:row>34</xdr:row>
      <xdr:rowOff>33042</xdr:rowOff>
    </xdr:to>
    <xdr:graphicFrame>
      <xdr:nvGraphicFramePr>
        <xdr:cNvPr id="2" name="Chart 1"/>
        <xdr:cNvGraphicFramePr>
          <a:graphicFrameLocks noGrp="1"/>
        </xdr:cNvGraphicFramePr>
      </xdr:nvGraphicFramePr>
      <xdr:xfrm>
        <a:off x="0" y="0"/>
        <a:ext cx="9298940" cy="5862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383583</xdr:colOff>
      <xdr:row>34</xdr:row>
      <xdr:rowOff>33042</xdr:rowOff>
    </xdr:to>
    <xdr:graphicFrame>
      <xdr:nvGraphicFramePr>
        <xdr:cNvPr id="2" name="Chart 1"/>
        <xdr:cNvGraphicFramePr>
          <a:graphicFrameLocks noGrp="1"/>
        </xdr:cNvGraphicFramePr>
      </xdr:nvGraphicFramePr>
      <xdr:xfrm>
        <a:off x="0" y="0"/>
        <a:ext cx="9298940" cy="5862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1:AJ4" totalsRowShown="0">
  <autoFilter ref="A1:AJ4"/>
  <tableColumns count="36">
    <tableColumn id="1" name="Sectoral Benchmark"/>
    <tableColumn id="2" name="2016" dataDxfId="0"/>
    <tableColumn id="3" name="2017" dataDxfId="1"/>
    <tableColumn id="4" name="2018" dataDxfId="2"/>
    <tableColumn id="5" name="2019" dataDxfId="3"/>
    <tableColumn id="6" name="2020" dataDxfId="4"/>
    <tableColumn id="7" name="2021" dataDxfId="5"/>
    <tableColumn id="8" name="2022" dataDxfId="6"/>
    <tableColumn id="9" name="2023" dataDxfId="7"/>
    <tableColumn id="10" name="2024" dataDxfId="8"/>
    <tableColumn id="11" name="2025" dataDxfId="9"/>
    <tableColumn id="12" name="2026" dataDxfId="10"/>
    <tableColumn id="13" name="2027" dataDxfId="11"/>
    <tableColumn id="14" name="2028" dataDxfId="12"/>
    <tableColumn id="15" name="2029" dataDxfId="13"/>
    <tableColumn id="16" name="2030" dataDxfId="14"/>
    <tableColumn id="17" name="2031" dataDxfId="15"/>
    <tableColumn id="18" name="2032" dataDxfId="16"/>
    <tableColumn id="19" name="2033" dataDxfId="17"/>
    <tableColumn id="20" name="2034" dataDxfId="18"/>
    <tableColumn id="21" name="2035" dataDxfId="19"/>
    <tableColumn id="22" name="2036" dataDxfId="20"/>
    <tableColumn id="23" name="2037" dataDxfId="21"/>
    <tableColumn id="24" name="2038" dataDxfId="22"/>
    <tableColumn id="25" name="2039" dataDxfId="23"/>
    <tableColumn id="26" name="2040" dataDxfId="24"/>
    <tableColumn id="27" name="2041" dataDxfId="25"/>
    <tableColumn id="28" name="2042" dataDxfId="26"/>
    <tableColumn id="29" name="2043" dataDxfId="27"/>
    <tableColumn id="30" name="2044" dataDxfId="28"/>
    <tableColumn id="31" name="2045" dataDxfId="29"/>
    <tableColumn id="32" name="2046" dataDxfId="30"/>
    <tableColumn id="33" name="2047" dataDxfId="31"/>
    <tableColumn id="34" name="2048" dataDxfId="32"/>
    <tableColumn id="35" name="2049" dataDxfId="33"/>
    <tableColumn id="36" name="2050" dataDxfId="34"/>
  </tableColumns>
  <tableStyleInfo name="TableStyleLight7" showFirstColumn="0" showLastColumn="0" showRowStripes="1" showColumnStripes="0"/>
</table>
</file>

<file path=xl/tables/table10.xml><?xml version="1.0" encoding="utf-8"?>
<table xmlns="http://schemas.openxmlformats.org/spreadsheetml/2006/main" id="6" name="Table158157" displayName="Table158157" ref="A1:AJ2" totalsRowShown="0">
  <autoFilter ref="A1:AJ2"/>
  <tableColumns count="36">
    <tableColumn id="1" name="Sectoral Benchmark"/>
    <tableColumn id="2" name="2016" dataDxfId="320"/>
    <tableColumn id="3" name="2017" dataDxfId="321"/>
    <tableColumn id="4" name="2018" dataDxfId="322"/>
    <tableColumn id="5" name="2019" dataDxfId="323"/>
    <tableColumn id="6" name="2020" dataDxfId="324"/>
    <tableColumn id="7" name="2021" dataDxfId="325"/>
    <tableColumn id="8" name="2022" dataDxfId="326"/>
    <tableColumn id="9" name="2023" dataDxfId="327"/>
    <tableColumn id="10" name="2024" dataDxfId="328"/>
    <tableColumn id="11" name="2025" dataDxfId="329"/>
    <tableColumn id="12" name="2026" dataDxfId="330"/>
    <tableColumn id="13" name="2027" dataDxfId="331"/>
    <tableColumn id="14" name="2028" dataDxfId="332"/>
    <tableColumn id="15" name="2029" dataDxfId="333"/>
    <tableColumn id="16" name="2030" dataDxfId="334"/>
    <tableColumn id="17" name="2031" dataDxfId="335"/>
    <tableColumn id="18" name="2032" dataDxfId="336"/>
    <tableColumn id="19" name="2033" dataDxfId="337"/>
    <tableColumn id="20" name="2034" dataDxfId="338"/>
    <tableColumn id="21" name="2035" dataDxfId="339"/>
    <tableColumn id="22" name="2036" dataDxfId="340"/>
    <tableColumn id="23" name="2037" dataDxfId="341"/>
    <tableColumn id="24" name="2038" dataDxfId="342"/>
    <tableColumn id="25" name="2039" dataDxfId="343"/>
    <tableColumn id="26" name="2040" dataDxfId="344"/>
    <tableColumn id="27" name="2041" dataDxfId="345"/>
    <tableColumn id="28" name="2042" dataDxfId="346"/>
    <tableColumn id="29" name="2043" dataDxfId="347"/>
    <tableColumn id="30" name="2044" dataDxfId="348"/>
    <tableColumn id="31" name="2045" dataDxfId="349"/>
    <tableColumn id="32" name="2046" dataDxfId="350"/>
    <tableColumn id="33" name="2047" dataDxfId="351"/>
    <tableColumn id="34" name="2048" dataDxfId="352"/>
    <tableColumn id="35" name="2049" dataDxfId="353"/>
    <tableColumn id="36" name="2050" dataDxfId="354"/>
  </tableColumns>
  <tableStyleInfo name="TableStyleLight7" showFirstColumn="0" showLastColumn="0" showRowStripes="1" showColumnStripes="0"/>
</table>
</file>

<file path=xl/tables/table11.xml><?xml version="1.0" encoding="utf-8"?>
<table xmlns="http://schemas.openxmlformats.org/spreadsheetml/2006/main" id="16" name="Table2691617" displayName="Table2691617" ref="A4:AJ201" totalsRowShown="0">
  <autoFilter ref="A4:AJ201"/>
  <tableColumns count="36">
    <tableColumn id="1" name="Post-semis SDAs (0.1 t CO2e/t Al increments)" dataDxfId="355"/>
    <tableColumn id="2" name="2016" dataDxfId="356"/>
    <tableColumn id="3" name="2017" dataDxfId="357"/>
    <tableColumn id="4" name="2018" dataDxfId="358"/>
    <tableColumn id="5" name="2019" dataDxfId="359"/>
    <tableColumn id="6" name="2020" dataDxfId="360"/>
    <tableColumn id="7" name="2021" dataDxfId="361"/>
    <tableColumn id="8" name="2022" dataDxfId="362"/>
    <tableColumn id="9" name="2023" dataDxfId="363"/>
    <tableColumn id="10" name="2024" dataDxfId="364"/>
    <tableColumn id="11" name="2025" dataDxfId="365"/>
    <tableColumn id="12" name="2026" dataDxfId="366"/>
    <tableColumn id="13" name="2027" dataDxfId="367"/>
    <tableColumn id="14" name="2028" dataDxfId="368"/>
    <tableColumn id="15" name="2029" dataDxfId="369"/>
    <tableColumn id="16" name="2030" dataDxfId="370"/>
    <tableColumn id="17" name="2031" dataDxfId="371"/>
    <tableColumn id="18" name="2032" dataDxfId="372"/>
    <tableColumn id="19" name="2033" dataDxfId="373"/>
    <tableColumn id="20" name="2034" dataDxfId="374"/>
    <tableColumn id="21" name="2035" dataDxfId="375"/>
    <tableColumn id="22" name="2036" dataDxfId="376"/>
    <tableColumn id="23" name="2037" dataDxfId="377"/>
    <tableColumn id="24" name="2038" dataDxfId="378"/>
    <tableColumn id="25" name="2039" dataDxfId="379"/>
    <tableColumn id="26" name="2040" dataDxfId="380"/>
    <tableColumn id="27" name="2041" dataDxfId="381"/>
    <tableColumn id="28" name="2042" dataDxfId="382"/>
    <tableColumn id="29" name="2043" dataDxfId="383"/>
    <tableColumn id="30" name="2044" dataDxfId="384"/>
    <tableColumn id="31" name="2045" dataDxfId="385"/>
    <tableColumn id="32" name="2046" dataDxfId="386"/>
    <tableColumn id="33" name="2047" dataDxfId="387"/>
    <tableColumn id="34" name="2048" dataDxfId="388"/>
    <tableColumn id="35" name="2049" dataDxfId="389"/>
    <tableColumn id="36" name="2050" dataDxfId="390"/>
  </tableColumns>
  <tableStyleInfo name="TableStyleLight7" showFirstColumn="0" showLastColumn="0" showRowStripes="1" showColumnStripes="0"/>
</table>
</file>

<file path=xl/tables/table12.xml><?xml version="1.0" encoding="utf-8"?>
<table xmlns="http://schemas.openxmlformats.org/spreadsheetml/2006/main" id="4" name="Table15" displayName="Table15" ref="A1:AJ2" totalsRowShown="0">
  <autoFilter ref="A1:AJ2"/>
  <tableColumns count="36">
    <tableColumn id="1" name="Sectoral Benchmark"/>
    <tableColumn id="2" name="2016" dataDxfId="391"/>
    <tableColumn id="3" name="2017" dataDxfId="392"/>
    <tableColumn id="4" name="2018" dataDxfId="393"/>
    <tableColumn id="5" name="2019" dataDxfId="394"/>
    <tableColumn id="6" name="2020" dataDxfId="395"/>
    <tableColumn id="7" name="2021" dataDxfId="396"/>
    <tableColumn id="8" name="2022" dataDxfId="397"/>
    <tableColumn id="9" name="2023" dataDxfId="398"/>
    <tableColumn id="10" name="2024" dataDxfId="399"/>
    <tableColumn id="11" name="2025" dataDxfId="400"/>
    <tableColumn id="12" name="2026" dataDxfId="401"/>
    <tableColumn id="13" name="2027" dataDxfId="402"/>
    <tableColumn id="14" name="2028" dataDxfId="403"/>
    <tableColumn id="15" name="2029" dataDxfId="404"/>
    <tableColumn id="16" name="2030" dataDxfId="405"/>
    <tableColumn id="17" name="2031" dataDxfId="406"/>
    <tableColumn id="18" name="2032" dataDxfId="407"/>
    <tableColumn id="19" name="2033" dataDxfId="408"/>
    <tableColumn id="20" name="2034" dataDxfId="409"/>
    <tableColumn id="21" name="2035" dataDxfId="410"/>
    <tableColumn id="22" name="2036" dataDxfId="411"/>
    <tableColumn id="23" name="2037" dataDxfId="412"/>
    <tableColumn id="24" name="2038" dataDxfId="413"/>
    <tableColumn id="25" name="2039" dataDxfId="414"/>
    <tableColumn id="26" name="2040" dataDxfId="415"/>
    <tableColumn id="27" name="2041" dataDxfId="416"/>
    <tableColumn id="28" name="2042" dataDxfId="417"/>
    <tableColumn id="29" name="2043" dataDxfId="418"/>
    <tableColumn id="30" name="2044" dataDxfId="419"/>
    <tableColumn id="31" name="2045" dataDxfId="420"/>
    <tableColumn id="32" name="2046" dataDxfId="421"/>
    <tableColumn id="33" name="2047" dataDxfId="422"/>
    <tableColumn id="34" name="2048" dataDxfId="423"/>
    <tableColumn id="35" name="2049" dataDxfId="424"/>
    <tableColumn id="36" name="2050" dataDxfId="425"/>
  </tableColumns>
  <tableStyleInfo name="TableStyleLight7" showFirstColumn="0" showLastColumn="0" showRowStripes="1" showColumnStripes="0"/>
</table>
</file>

<file path=xl/tables/table13.xml><?xml version="1.0" encoding="utf-8"?>
<table xmlns="http://schemas.openxmlformats.org/spreadsheetml/2006/main" id="5" name="Table26" displayName="Table26" ref="A4:AJ110" totalsRowShown="0">
  <autoFilter ref="A4:AJ110"/>
  <tableColumns count="36">
    <tableColumn id="1" name="Recycling SDAs (0.005 t CO2e/t Al increments)" dataDxfId="426"/>
    <tableColumn id="2" name="2016" dataDxfId="427"/>
    <tableColumn id="3" name="2017" dataDxfId="428"/>
    <tableColumn id="4" name="2018" dataDxfId="429"/>
    <tableColumn id="5" name="2019" dataDxfId="430"/>
    <tableColumn id="6" name="2020" dataDxfId="431"/>
    <tableColumn id="7" name="2021" dataDxfId="432"/>
    <tableColumn id="8" name="2022" dataDxfId="433"/>
    <tableColumn id="9" name="2023" dataDxfId="434"/>
    <tableColumn id="10" name="2024" dataDxfId="435"/>
    <tableColumn id="11" name="2025" dataDxfId="436"/>
    <tableColumn id="12" name="2026" dataDxfId="437"/>
    <tableColumn id="13" name="2027" dataDxfId="438"/>
    <tableColumn id="14" name="2028" dataDxfId="439"/>
    <tableColumn id="15" name="2029" dataDxfId="440"/>
    <tableColumn id="16" name="2030" dataDxfId="441"/>
    <tableColumn id="17" name="2031" dataDxfId="442"/>
    <tableColumn id="18" name="2032" dataDxfId="443"/>
    <tableColumn id="19" name="2033" dataDxfId="444"/>
    <tableColumn id="20" name="2034" dataDxfId="445"/>
    <tableColumn id="21" name="2035" dataDxfId="446"/>
    <tableColumn id="22" name="2036" dataDxfId="447"/>
    <tableColumn id="23" name="2037" dataDxfId="448"/>
    <tableColumn id="24" name="2038" dataDxfId="449"/>
    <tableColumn id="25" name="2039" dataDxfId="450"/>
    <tableColumn id="26" name="2040" dataDxfId="451"/>
    <tableColumn id="27" name="2041" dataDxfId="452"/>
    <tableColumn id="28" name="2042" dataDxfId="453"/>
    <tableColumn id="29" name="2043" dataDxfId="454"/>
    <tableColumn id="30" name="2044" dataDxfId="455"/>
    <tableColumn id="31" name="2045" dataDxfId="456"/>
    <tableColumn id="32" name="2046" dataDxfId="457"/>
    <tableColumn id="33" name="2047" dataDxfId="458"/>
    <tableColumn id="34" name="2048" dataDxfId="459"/>
    <tableColumn id="35" name="2049" dataDxfId="460"/>
    <tableColumn id="36" name="2050" dataDxfId="461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7" name="Table158" displayName="Table158" ref="A1:AJ2" totalsRowShown="0">
  <autoFilter ref="A1:AJ2"/>
  <tableColumns count="36">
    <tableColumn id="1" name="Sectoral Benchmark"/>
    <tableColumn id="2" name="2016" dataDxfId="462"/>
    <tableColumn id="3" name="2017" dataDxfId="463"/>
    <tableColumn id="4" name="2018" dataDxfId="464"/>
    <tableColumn id="5" name="2019" dataDxfId="465"/>
    <tableColumn id="6" name="2020" dataDxfId="466"/>
    <tableColumn id="7" name="2021" dataDxfId="467"/>
    <tableColumn id="8" name="2022" dataDxfId="468"/>
    <tableColumn id="9" name="2023" dataDxfId="469"/>
    <tableColumn id="10" name="2024" dataDxfId="470"/>
    <tableColumn id="11" name="2025" dataDxfId="471"/>
    <tableColumn id="12" name="2026" dataDxfId="472"/>
    <tableColumn id="13" name="2027" dataDxfId="473"/>
    <tableColumn id="14" name="2028" dataDxfId="474"/>
    <tableColumn id="15" name="2029" dataDxfId="475"/>
    <tableColumn id="16" name="2030" dataDxfId="476"/>
    <tableColumn id="17" name="2031" dataDxfId="477"/>
    <tableColumn id="18" name="2032" dataDxfId="478"/>
    <tableColumn id="19" name="2033" dataDxfId="479"/>
    <tableColumn id="20" name="2034" dataDxfId="480"/>
    <tableColumn id="21" name="2035" dataDxfId="481"/>
    <tableColumn id="22" name="2036" dataDxfId="482"/>
    <tableColumn id="23" name="2037" dataDxfId="483"/>
    <tableColumn id="24" name="2038" dataDxfId="484"/>
    <tableColumn id="25" name="2039" dataDxfId="485"/>
    <tableColumn id="26" name="2040" dataDxfId="486"/>
    <tableColumn id="27" name="2041" dataDxfId="487"/>
    <tableColumn id="28" name="2042" dataDxfId="488"/>
    <tableColumn id="29" name="2043" dataDxfId="489"/>
    <tableColumn id="30" name="2044" dataDxfId="490"/>
    <tableColumn id="31" name="2045" dataDxfId="491"/>
    <tableColumn id="32" name="2046" dataDxfId="492"/>
    <tableColumn id="33" name="2047" dataDxfId="493"/>
    <tableColumn id="34" name="2048" dataDxfId="494"/>
    <tableColumn id="35" name="2049" dataDxfId="495"/>
    <tableColumn id="36" name="2050" dataDxfId="496"/>
  </tableColumns>
  <tableStyleInfo name="TableStyleLight7" showFirstColumn="0" showLastColumn="0" showRowStripes="1" showColumnStripes="0"/>
</table>
</file>

<file path=xl/tables/table15.xml><?xml version="1.0" encoding="utf-8"?>
<table xmlns="http://schemas.openxmlformats.org/spreadsheetml/2006/main" id="8" name="Table269" displayName="Table269" ref="A4:AJ94" totalsRowShown="0">
  <autoFilter ref="A4:AJ94"/>
  <tableColumns count="36">
    <tableColumn id="1" name="Semis SDAs (0.005 t CO2e/t Al increments)" dataDxfId="497"/>
    <tableColumn id="2" name="2016" dataDxfId="498"/>
    <tableColumn id="3" name="2017" dataDxfId="499"/>
    <tableColumn id="4" name="2018" dataDxfId="500"/>
    <tableColumn id="5" name="2019" dataDxfId="501"/>
    <tableColumn id="6" name="2020" dataDxfId="502"/>
    <tableColumn id="7" name="2021" dataDxfId="503"/>
    <tableColumn id="8" name="2022" dataDxfId="504"/>
    <tableColumn id="9" name="2023" dataDxfId="505"/>
    <tableColumn id="10" name="2024" dataDxfId="506"/>
    <tableColumn id="11" name="2025" dataDxfId="507"/>
    <tableColumn id="12" name="2026" dataDxfId="508"/>
    <tableColumn id="13" name="2027" dataDxfId="509"/>
    <tableColumn id="14" name="2028" dataDxfId="510"/>
    <tableColumn id="15" name="2029" dataDxfId="511"/>
    <tableColumn id="16" name="2030" dataDxfId="512"/>
    <tableColumn id="17" name="2031" dataDxfId="513"/>
    <tableColumn id="18" name="2032" dataDxfId="514"/>
    <tableColumn id="19" name="2033" dataDxfId="515"/>
    <tableColumn id="20" name="2034" dataDxfId="516"/>
    <tableColumn id="21" name="2035" dataDxfId="517"/>
    <tableColumn id="22" name="2036" dataDxfId="518"/>
    <tableColumn id="23" name="2037" dataDxfId="519"/>
    <tableColumn id="24" name="2038" dataDxfId="520"/>
    <tableColumn id="25" name="2039" dataDxfId="521"/>
    <tableColumn id="26" name="2040" dataDxfId="522"/>
    <tableColumn id="27" name="2041" dataDxfId="523"/>
    <tableColumn id="28" name="2042" dataDxfId="524"/>
    <tableColumn id="29" name="2043" dataDxfId="525"/>
    <tableColumn id="30" name="2044" dataDxfId="526"/>
    <tableColumn id="31" name="2045" dataDxfId="527"/>
    <tableColumn id="32" name="2046" dataDxfId="528"/>
    <tableColumn id="33" name="2047" dataDxfId="529"/>
    <tableColumn id="34" name="2048" dataDxfId="530"/>
    <tableColumn id="35" name="2049" dataDxfId="531"/>
    <tableColumn id="36" name="2050" dataDxfId="532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id="13" name="Table13" displayName="Table13" ref="C2:E4" totalsRowShown="0">
  <autoFilter ref="C2:E4"/>
  <tableColumns count="3">
    <tableColumn id="1" name="Allocation"/>
    <tableColumn id="3" name="Name"/>
    <tableColumn id="2" name="Column1" dataDxfId="53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6:AJ201" totalsRowShown="0">
  <autoFilter ref="A6:AJ201"/>
  <tableColumns count="36">
    <tableColumn id="1" name="Electricity SDAs (0.1 t CO2e/t Al increments)" dataDxfId="35"/>
    <tableColumn id="2" name="2016" dataDxfId="36"/>
    <tableColumn id="3" name="2017" dataDxfId="37"/>
    <tableColumn id="4" name="2018" dataDxfId="38"/>
    <tableColumn id="5" name="2019" dataDxfId="39"/>
    <tableColumn id="6" name="2020" dataDxfId="40"/>
    <tableColumn id="7" name="2021" dataDxfId="41"/>
    <tableColumn id="8" name="2022" dataDxfId="42"/>
    <tableColumn id="9" name="2023" dataDxfId="43"/>
    <tableColumn id="10" name="2024" dataDxfId="44"/>
    <tableColumn id="11" name="2025" dataDxfId="45"/>
    <tableColumn id="12" name="2026" dataDxfId="46"/>
    <tableColumn id="13" name="2027" dataDxfId="47"/>
    <tableColumn id="14" name="2028" dataDxfId="48"/>
    <tableColumn id="15" name="2029" dataDxfId="49"/>
    <tableColumn id="16" name="2030" dataDxfId="50"/>
    <tableColumn id="17" name="2031" dataDxfId="51"/>
    <tableColumn id="18" name="2032" dataDxfId="52"/>
    <tableColumn id="19" name="2033" dataDxfId="53"/>
    <tableColumn id="20" name="2034" dataDxfId="54"/>
    <tableColumn id="21" name="2035" dataDxfId="55"/>
    <tableColumn id="22" name="2036" dataDxfId="56"/>
    <tableColumn id="23" name="2037" dataDxfId="57"/>
    <tableColumn id="24" name="2038" dataDxfId="58"/>
    <tableColumn id="25" name="2039" dataDxfId="59"/>
    <tableColumn id="26" name="2040" dataDxfId="60"/>
    <tableColumn id="27" name="2041" dataDxfId="61"/>
    <tableColumn id="28" name="2042" dataDxfId="62"/>
    <tableColumn id="29" name="2043" dataDxfId="63"/>
    <tableColumn id="30" name="2044" dataDxfId="64"/>
    <tableColumn id="31" name="2045" dataDxfId="65"/>
    <tableColumn id="32" name="2046" dataDxfId="66"/>
    <tableColumn id="33" name="2047" dataDxfId="67"/>
    <tableColumn id="34" name="2048" dataDxfId="68"/>
    <tableColumn id="35" name="2049" dataDxfId="69"/>
    <tableColumn id="36" name="2050" dataDxfId="70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203:AJ302" totalsRowShown="0">
  <autoFilter ref="A203:AJ302"/>
  <tableColumns count="36">
    <tableColumn id="1" name="Non-Electricity SDAs (0.1 t CO2e/t Al increments)" dataDxfId="71"/>
    <tableColumn id="2" name="2016" dataDxfId="72"/>
    <tableColumn id="3" name="2017" dataDxfId="73"/>
    <tableColumn id="4" name="2018" dataDxfId="74"/>
    <tableColumn id="5" name="2019" dataDxfId="75"/>
    <tableColumn id="6" name="2020" dataDxfId="76"/>
    <tableColumn id="7" name="2021" dataDxfId="77"/>
    <tableColumn id="8" name="2022" dataDxfId="78"/>
    <tableColumn id="9" name="2023" dataDxfId="79"/>
    <tableColumn id="10" name="2024" dataDxfId="80"/>
    <tableColumn id="11" name="2025" dataDxfId="81"/>
    <tableColumn id="12" name="2026" dataDxfId="82"/>
    <tableColumn id="13" name="2027" dataDxfId="83"/>
    <tableColumn id="14" name="2028" dataDxfId="84"/>
    <tableColumn id="15" name="2029" dataDxfId="85"/>
    <tableColumn id="16" name="2030" dataDxfId="86"/>
    <tableColumn id="17" name="2031" dataDxfId="87"/>
    <tableColumn id="18" name="2032" dataDxfId="88"/>
    <tableColumn id="19" name="2033" dataDxfId="89"/>
    <tableColumn id="20" name="2034" dataDxfId="90"/>
    <tableColumn id="21" name="2035" dataDxfId="91"/>
    <tableColumn id="22" name="2036" dataDxfId="92"/>
    <tableColumn id="23" name="2037" dataDxfId="93"/>
    <tableColumn id="24" name="2038" dataDxfId="94"/>
    <tableColumn id="25" name="2039" dataDxfId="95"/>
    <tableColumn id="26" name="2040" dataDxfId="96"/>
    <tableColumn id="27" name="2041" dataDxfId="97"/>
    <tableColumn id="28" name="2042" dataDxfId="98"/>
    <tableColumn id="29" name="2043" dataDxfId="99"/>
    <tableColumn id="30" name="2044" dataDxfId="100"/>
    <tableColumn id="31" name="2045" dataDxfId="101"/>
    <tableColumn id="32" name="2046" dataDxfId="102"/>
    <tableColumn id="33" name="2047" dataDxfId="103"/>
    <tableColumn id="34" name="2048" dataDxfId="104"/>
    <tableColumn id="35" name="2049" dataDxfId="105"/>
    <tableColumn id="36" name="2050" dataDxfId="106"/>
  </tableColumns>
  <tableStyleInfo name="TableStyleLight5" showFirstColumn="0" showLastColumn="0" showRowStripes="1" showColumnStripes="0"/>
</table>
</file>

<file path=xl/tables/table4.xml><?xml version="1.0" encoding="utf-8"?>
<table xmlns="http://schemas.openxmlformats.org/spreadsheetml/2006/main" id="11" name="Table112" displayName="Table112" ref="A1:AJ2" totalsRowShown="0">
  <autoFilter ref="A1:AJ2"/>
  <tableColumns count="36">
    <tableColumn id="1" name="Sectoral Benchmark"/>
    <tableColumn id="2" name="2016" dataDxfId="107"/>
    <tableColumn id="3" name="2017" dataDxfId="108"/>
    <tableColumn id="4" name="2018" dataDxfId="109"/>
    <tableColumn id="5" name="2019" dataDxfId="110"/>
    <tableColumn id="6" name="2020" dataDxfId="111"/>
    <tableColumn id="7" name="2021" dataDxfId="112"/>
    <tableColumn id="8" name="2022" dataDxfId="113"/>
    <tableColumn id="9" name="2023" dataDxfId="114"/>
    <tableColumn id="10" name="2024" dataDxfId="115"/>
    <tableColumn id="11" name="2025" dataDxfId="116"/>
    <tableColumn id="12" name="2026" dataDxfId="117"/>
    <tableColumn id="13" name="2027" dataDxfId="118"/>
    <tableColumn id="14" name="2028" dataDxfId="119"/>
    <tableColumn id="15" name="2029" dataDxfId="120"/>
    <tableColumn id="16" name="2030" dataDxfId="121"/>
    <tableColumn id="17" name="2031" dataDxfId="122"/>
    <tableColumn id="18" name="2032" dataDxfId="123"/>
    <tableColumn id="19" name="2033" dataDxfId="124"/>
    <tableColumn id="20" name="2034" dataDxfId="125"/>
    <tableColumn id="21" name="2035" dataDxfId="126"/>
    <tableColumn id="22" name="2036" dataDxfId="127"/>
    <tableColumn id="23" name="2037" dataDxfId="128"/>
    <tableColumn id="24" name="2038" dataDxfId="129"/>
    <tableColumn id="25" name="2039" dataDxfId="130"/>
    <tableColumn id="26" name="2040" dataDxfId="131"/>
    <tableColumn id="27" name="2041" dataDxfId="132"/>
    <tableColumn id="28" name="2042" dataDxfId="133"/>
    <tableColumn id="29" name="2043" dataDxfId="134"/>
    <tableColumn id="30" name="2044" dataDxfId="135"/>
    <tableColumn id="31" name="2045" dataDxfId="136"/>
    <tableColumn id="32" name="2046" dataDxfId="137"/>
    <tableColumn id="33" name="2047" dataDxfId="138"/>
    <tableColumn id="34" name="2048" dataDxfId="139"/>
    <tableColumn id="35" name="2049" dataDxfId="140"/>
    <tableColumn id="36" name="2050" dataDxfId="141"/>
  </tableColumns>
  <tableStyleInfo name="TableStyleLight7" showFirstColumn="0" showLastColumn="0" showRowStripes="1" showColumnStripes="0"/>
</table>
</file>

<file path=xl/tables/table5.xml><?xml version="1.0" encoding="utf-8"?>
<table xmlns="http://schemas.openxmlformats.org/spreadsheetml/2006/main" id="12" name="Table213" displayName="Table213" ref="A4:AJ296" totalsRowShown="0">
  <autoFilter ref="A4:AJ296"/>
  <tableColumns count="36">
    <tableColumn id="1" name="Electricity SDAs (0.1 t CO2e/t Al increments)" dataDxfId="142"/>
    <tableColumn id="2" name="2016" dataDxfId="143"/>
    <tableColumn id="3" name="2017" dataDxfId="144"/>
    <tableColumn id="4" name="2018" dataDxfId="145"/>
    <tableColumn id="5" name="2019" dataDxfId="146"/>
    <tableColumn id="6" name="2020" dataDxfId="147"/>
    <tableColumn id="7" name="2021" dataDxfId="148"/>
    <tableColumn id="8" name="2022" dataDxfId="149"/>
    <tableColumn id="9" name="2023" dataDxfId="150"/>
    <tableColumn id="10" name="2024" dataDxfId="151"/>
    <tableColumn id="11" name="2025" dataDxfId="152"/>
    <tableColumn id="12" name="2026" dataDxfId="153"/>
    <tableColumn id="13" name="2027" dataDxfId="154"/>
    <tableColumn id="14" name="2028" dataDxfId="155"/>
    <tableColumn id="15" name="2029" dataDxfId="156"/>
    <tableColumn id="16" name="2030" dataDxfId="157"/>
    <tableColumn id="17" name="2031" dataDxfId="158"/>
    <tableColumn id="18" name="2032" dataDxfId="159"/>
    <tableColumn id="19" name="2033" dataDxfId="160"/>
    <tableColumn id="20" name="2034" dataDxfId="161"/>
    <tableColumn id="21" name="2035" dataDxfId="162"/>
    <tableColumn id="22" name="2036" dataDxfId="163"/>
    <tableColumn id="23" name="2037" dataDxfId="164"/>
    <tableColumn id="24" name="2038" dataDxfId="165"/>
    <tableColumn id="25" name="2039" dataDxfId="166"/>
    <tableColumn id="26" name="2040" dataDxfId="167"/>
    <tableColumn id="27" name="2041" dataDxfId="168"/>
    <tableColumn id="28" name="2042" dataDxfId="169"/>
    <tableColumn id="29" name="2043" dataDxfId="170"/>
    <tableColumn id="30" name="2044" dataDxfId="171"/>
    <tableColumn id="31" name="2045" dataDxfId="172"/>
    <tableColumn id="32" name="2046" dataDxfId="173"/>
    <tableColumn id="33" name="2047" dataDxfId="174"/>
    <tableColumn id="34" name="2048" dataDxfId="175"/>
    <tableColumn id="35" name="2049" dataDxfId="176"/>
    <tableColumn id="36" name="2050" dataDxfId="177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17" name="Table11218" displayName="Table11218" ref="A1:AJ2" totalsRowShown="0">
  <autoFilter ref="A1:AJ2"/>
  <tableColumns count="36">
    <tableColumn id="1" name="Sectoral Benchmark"/>
    <tableColumn id="2" name="2016" dataDxfId="178"/>
    <tableColumn id="3" name="2017" dataDxfId="179"/>
    <tableColumn id="4" name="2018" dataDxfId="180"/>
    <tableColumn id="5" name="2019" dataDxfId="181"/>
    <tableColumn id="6" name="2020" dataDxfId="182"/>
    <tableColumn id="7" name="2021" dataDxfId="183"/>
    <tableColumn id="8" name="2022" dataDxfId="184"/>
    <tableColumn id="9" name="2023" dataDxfId="185"/>
    <tableColumn id="10" name="2024" dataDxfId="186"/>
    <tableColumn id="11" name="2025" dataDxfId="187"/>
    <tableColumn id="12" name="2026" dataDxfId="188"/>
    <tableColumn id="13" name="2027" dataDxfId="189"/>
    <tableColumn id="14" name="2028" dataDxfId="190"/>
    <tableColumn id="15" name="2029" dataDxfId="191"/>
    <tableColumn id="16" name="2030" dataDxfId="192"/>
    <tableColumn id="17" name="2031" dataDxfId="193"/>
    <tableColumn id="18" name="2032" dataDxfId="194"/>
    <tableColumn id="19" name="2033" dataDxfId="195"/>
    <tableColumn id="20" name="2034" dataDxfId="196"/>
    <tableColumn id="21" name="2035" dataDxfId="197"/>
    <tableColumn id="22" name="2036" dataDxfId="198"/>
    <tableColumn id="23" name="2037" dataDxfId="199"/>
    <tableColumn id="24" name="2038" dataDxfId="200"/>
    <tableColumn id="25" name="2039" dataDxfId="201"/>
    <tableColumn id="26" name="2040" dataDxfId="202"/>
    <tableColumn id="27" name="2041" dataDxfId="203"/>
    <tableColumn id="28" name="2042" dataDxfId="204"/>
    <tableColumn id="29" name="2043" dataDxfId="205"/>
    <tableColumn id="30" name="2044" dataDxfId="206"/>
    <tableColumn id="31" name="2045" dataDxfId="207"/>
    <tableColumn id="32" name="2046" dataDxfId="208"/>
    <tableColumn id="33" name="2047" dataDxfId="209"/>
    <tableColumn id="34" name="2048" dataDxfId="210"/>
    <tableColumn id="35" name="2049" dataDxfId="211"/>
    <tableColumn id="36" name="2050" dataDxfId="212"/>
  </tableColumns>
  <tableStyleInfo name="TableStyleLight7" showFirstColumn="0" showLastColumn="0" showRowStripes="1" showColumnStripes="0"/>
</table>
</file>

<file path=xl/tables/table7.xml><?xml version="1.0" encoding="utf-8"?>
<table xmlns="http://schemas.openxmlformats.org/spreadsheetml/2006/main" id="18" name="Table21319" displayName="Table21319" ref="A4:AJ304" totalsRowShown="0">
  <autoFilter ref="A4:AJ304"/>
  <tableColumns count="36">
    <tableColumn id="1" name="Electricity SDAs (0.1 t CO2e/t Al increments)" dataDxfId="213"/>
    <tableColumn id="2" name="2016" dataDxfId="214"/>
    <tableColumn id="3" name="2017" dataDxfId="215"/>
    <tableColumn id="4" name="2018" dataDxfId="216"/>
    <tableColumn id="5" name="2019" dataDxfId="217"/>
    <tableColumn id="6" name="2020" dataDxfId="218"/>
    <tableColumn id="7" name="2021" dataDxfId="219"/>
    <tableColumn id="8" name="2022" dataDxfId="220"/>
    <tableColumn id="9" name="2023" dataDxfId="221"/>
    <tableColumn id="10" name="2024" dataDxfId="222"/>
    <tableColumn id="11" name="2025" dataDxfId="223"/>
    <tableColumn id="12" name="2026" dataDxfId="224"/>
    <tableColumn id="13" name="2027" dataDxfId="225"/>
    <tableColumn id="14" name="2028" dataDxfId="226"/>
    <tableColumn id="15" name="2029" dataDxfId="227"/>
    <tableColumn id="16" name="2030" dataDxfId="228"/>
    <tableColumn id="17" name="2031" dataDxfId="229"/>
    <tableColumn id="18" name="2032" dataDxfId="230"/>
    <tableColumn id="19" name="2033" dataDxfId="231"/>
    <tableColumn id="20" name="2034" dataDxfId="232"/>
    <tableColumn id="21" name="2035" dataDxfId="233"/>
    <tableColumn id="22" name="2036" dataDxfId="234"/>
    <tableColumn id="23" name="2037" dataDxfId="235"/>
    <tableColumn id="24" name="2038" dataDxfId="236"/>
    <tableColumn id="25" name="2039" dataDxfId="237"/>
    <tableColumn id="26" name="2040" dataDxfId="238"/>
    <tableColumn id="27" name="2041" dataDxfId="239"/>
    <tableColumn id="28" name="2042" dataDxfId="240"/>
    <tableColumn id="29" name="2043" dataDxfId="241"/>
    <tableColumn id="30" name="2044" dataDxfId="242"/>
    <tableColumn id="31" name="2045" dataDxfId="243"/>
    <tableColumn id="32" name="2046" dataDxfId="244"/>
    <tableColumn id="33" name="2047" dataDxfId="245"/>
    <tableColumn id="34" name="2048" dataDxfId="246"/>
    <tableColumn id="35" name="2049" dataDxfId="247"/>
    <tableColumn id="36" name="2050" dataDxfId="248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14" name="Table15815" displayName="Table15815" ref="A1:AJ2" totalsRowShown="0">
  <autoFilter ref="A1:AJ2"/>
  <tableColumns count="36">
    <tableColumn id="1" name="Sectoral Benchmark"/>
    <tableColumn id="2" name="2016" dataDxfId="249"/>
    <tableColumn id="3" name="2017" dataDxfId="250"/>
    <tableColumn id="4" name="2018" dataDxfId="251"/>
    <tableColumn id="5" name="2019" dataDxfId="252"/>
    <tableColumn id="6" name="2020" dataDxfId="253"/>
    <tableColumn id="7" name="2021" dataDxfId="254"/>
    <tableColumn id="8" name="2022" dataDxfId="255"/>
    <tableColumn id="9" name="2023" dataDxfId="256"/>
    <tableColumn id="10" name="2024" dataDxfId="257"/>
    <tableColumn id="11" name="2025" dataDxfId="258"/>
    <tableColumn id="12" name="2026" dataDxfId="259"/>
    <tableColumn id="13" name="2027" dataDxfId="260"/>
    <tableColumn id="14" name="2028" dataDxfId="261"/>
    <tableColumn id="15" name="2029" dataDxfId="262"/>
    <tableColumn id="16" name="2030" dataDxfId="263"/>
    <tableColumn id="17" name="2031" dataDxfId="264"/>
    <tableColumn id="18" name="2032" dataDxfId="265"/>
    <tableColumn id="19" name="2033" dataDxfId="266"/>
    <tableColumn id="20" name="2034" dataDxfId="267"/>
    <tableColumn id="21" name="2035" dataDxfId="268"/>
    <tableColumn id="22" name="2036" dataDxfId="269"/>
    <tableColumn id="23" name="2037" dataDxfId="270"/>
    <tableColumn id="24" name="2038" dataDxfId="271"/>
    <tableColumn id="25" name="2039" dataDxfId="272"/>
    <tableColumn id="26" name="2040" dataDxfId="273"/>
    <tableColumn id="27" name="2041" dataDxfId="274"/>
    <tableColumn id="28" name="2042" dataDxfId="275"/>
    <tableColumn id="29" name="2043" dataDxfId="276"/>
    <tableColumn id="30" name="2044" dataDxfId="277"/>
    <tableColumn id="31" name="2045" dataDxfId="278"/>
    <tableColumn id="32" name="2046" dataDxfId="279"/>
    <tableColumn id="33" name="2047" dataDxfId="280"/>
    <tableColumn id="34" name="2048" dataDxfId="281"/>
    <tableColumn id="35" name="2049" dataDxfId="282"/>
    <tableColumn id="36" name="2050" dataDxfId="283"/>
  </tableColumns>
  <tableStyleInfo name="TableStyleLight7" showFirstColumn="0" showLastColumn="0" showRowStripes="1" showColumnStripes="0"/>
</table>
</file>

<file path=xl/tables/table9.xml><?xml version="1.0" encoding="utf-8"?>
<table xmlns="http://schemas.openxmlformats.org/spreadsheetml/2006/main" id="15" name="Table26916" displayName="Table26916" ref="A4:AJ202" totalsRowShown="0">
  <autoFilter ref="A4:AJ202"/>
  <tableColumns count="36">
    <tableColumn id="1" name="Semis SDAs (0.1 t CO2e/t Al increments)" dataDxfId="284"/>
    <tableColumn id="2" name="2016" dataDxfId="285"/>
    <tableColumn id="3" name="2017" dataDxfId="286"/>
    <tableColumn id="4" name="2018" dataDxfId="287"/>
    <tableColumn id="5" name="2019" dataDxfId="288"/>
    <tableColumn id="6" name="2020" dataDxfId="289"/>
    <tableColumn id="7" name="2021" dataDxfId="290"/>
    <tableColumn id="8" name="2022" dataDxfId="291"/>
    <tableColumn id="9" name="2023" dataDxfId="292"/>
    <tableColumn id="10" name="2024" dataDxfId="293"/>
    <tableColumn id="11" name="2025" dataDxfId="294"/>
    <tableColumn id="12" name="2026" dataDxfId="295"/>
    <tableColumn id="13" name="2027" dataDxfId="296"/>
    <tableColumn id="14" name="2028" dataDxfId="297"/>
    <tableColumn id="15" name="2029" dataDxfId="298"/>
    <tableColumn id="16" name="2030" dataDxfId="299"/>
    <tableColumn id="17" name="2031" dataDxfId="300"/>
    <tableColumn id="18" name="2032" dataDxfId="301"/>
    <tableColumn id="19" name="2033" dataDxfId="302"/>
    <tableColumn id="20" name="2034" dataDxfId="303"/>
    <tableColumn id="21" name="2035" dataDxfId="304"/>
    <tableColumn id="22" name="2036" dataDxfId="305"/>
    <tableColumn id="23" name="2037" dataDxfId="306"/>
    <tableColumn id="24" name="2038" dataDxfId="307"/>
    <tableColumn id="25" name="2039" dataDxfId="308"/>
    <tableColumn id="26" name="2040" dataDxfId="309"/>
    <tableColumn id="27" name="2041" dataDxfId="310"/>
    <tableColumn id="28" name="2042" dataDxfId="311"/>
    <tableColumn id="29" name="2043" dataDxfId="312"/>
    <tableColumn id="30" name="2044" dataDxfId="313"/>
    <tableColumn id="31" name="2045" dataDxfId="314"/>
    <tableColumn id="32" name="2046" dataDxfId="315"/>
    <tableColumn id="33" name="2047" dataDxfId="316"/>
    <tableColumn id="34" name="2048" dataDxfId="317"/>
    <tableColumn id="35" name="2049" dataDxfId="318"/>
    <tableColumn id="36" name="2050" dataDxfId="319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3.xml"/><Relationship Id="rId1" Type="http://schemas.openxmlformats.org/officeDocument/2006/relationships/comments" Target="../comments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4" Type="http://schemas.openxmlformats.org/officeDocument/2006/relationships/table" Target="../tables/table3.xml"/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hyperlink" Target="https://international-aluminium.org/resource/good-practice-for-calculation-of-primary-aluminium-and-precursor-product-carbon-footprints/" TargetMode="External"/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2:D30"/>
  <sheetViews>
    <sheetView zoomScale="110" zoomScaleNormal="110" topLeftCell="B1" workbookViewId="0">
      <selection activeCell="B8" sqref="B8"/>
    </sheetView>
  </sheetViews>
  <sheetFormatPr defaultColWidth="9.16666666666667" defaultRowHeight="13.5" outlineLevelCol="3"/>
  <cols>
    <col min="1" max="1" width="5.5" style="176" customWidth="1"/>
    <col min="2" max="2" width="49" style="176" customWidth="1"/>
    <col min="3" max="3" width="46" style="176" customWidth="1"/>
    <col min="4" max="4" width="144" style="176" customWidth="1"/>
    <col min="5" max="5" width="11.1666666666667" style="176" customWidth="1"/>
    <col min="6" max="16384" width="9.16666666666667" style="176"/>
  </cols>
  <sheetData>
    <row r="2" spans="2:4">
      <c r="B2" s="176" t="s">
        <v>0</v>
      </c>
      <c r="C2" s="177" t="s">
        <v>1</v>
      </c>
      <c r="D2" s="185" t="s">
        <v>2</v>
      </c>
    </row>
    <row r="4" spans="2:2">
      <c r="B4" s="176" t="s">
        <v>3</v>
      </c>
    </row>
    <row r="5" spans="3:4">
      <c r="C5" s="178" t="s">
        <v>4</v>
      </c>
      <c r="D5" s="185" t="s">
        <v>5</v>
      </c>
    </row>
    <row r="6" spans="3:4">
      <c r="C6" s="179" t="s">
        <v>6</v>
      </c>
      <c r="D6" s="185" t="s">
        <v>7</v>
      </c>
    </row>
    <row r="7" spans="3:4">
      <c r="C7" s="180" t="s">
        <v>8</v>
      </c>
      <c r="D7" s="185" t="s">
        <v>9</v>
      </c>
    </row>
    <row r="8" spans="3:4">
      <c r="C8" s="180" t="s">
        <v>10</v>
      </c>
      <c r="D8" s="176" t="str">
        <f>"- Tool for mass-weighting supplier slopes for purchased metal (when available), used in the worksheet "&amp;C7</f>
        <v>- Tool for mass-weighting supplier slopes for purchased metal (when available), used in the worksheet "Casthouse (mass allocation)"</v>
      </c>
    </row>
    <row r="9" spans="3:4">
      <c r="C9" s="181" t="s">
        <v>11</v>
      </c>
      <c r="D9" s="185" t="s">
        <v>12</v>
      </c>
    </row>
    <row r="10" spans="3:4">
      <c r="C10" s="181" t="s">
        <v>13</v>
      </c>
      <c r="D10" s="185" t="s">
        <v>14</v>
      </c>
    </row>
    <row r="12" spans="2:2">
      <c r="B12" s="185" t="s">
        <v>15</v>
      </c>
    </row>
    <row r="13" spans="3:4">
      <c r="C13" s="182" t="s">
        <v>16</v>
      </c>
      <c r="D13" s="185" t="s">
        <v>17</v>
      </c>
    </row>
    <row r="15" spans="2:2">
      <c r="B15" s="176" t="s">
        <v>18</v>
      </c>
    </row>
    <row r="16" spans="3:4">
      <c r="C16" s="183" t="s">
        <v>19</v>
      </c>
      <c r="D16" s="185" t="s">
        <v>20</v>
      </c>
    </row>
    <row r="17" spans="3:4">
      <c r="C17" s="183" t="s">
        <v>21</v>
      </c>
      <c r="D17" s="185" t="s">
        <v>22</v>
      </c>
    </row>
    <row r="19" spans="2:2">
      <c r="B19" s="176" t="s">
        <v>23</v>
      </c>
    </row>
    <row r="20" spans="2:4">
      <c r="B20" s="176" t="s">
        <v>24</v>
      </c>
      <c r="C20" s="178" t="s">
        <v>25</v>
      </c>
      <c r="D20" s="185" t="s">
        <v>26</v>
      </c>
    </row>
    <row r="21" ht="15.75" customHeight="1" spans="2:4">
      <c r="B21" s="176" t="s">
        <v>24</v>
      </c>
      <c r="C21" s="178" t="s">
        <v>27</v>
      </c>
      <c r="D21" s="185" t="s">
        <v>28</v>
      </c>
    </row>
    <row r="22" ht="15.75" customHeight="1"/>
    <row r="23" spans="2:2">
      <c r="B23" s="176" t="s">
        <v>29</v>
      </c>
    </row>
    <row r="24" spans="2:4">
      <c r="B24" s="176" t="s">
        <v>24</v>
      </c>
      <c r="C24" s="184" t="s">
        <v>30</v>
      </c>
      <c r="D24" s="185" t="s">
        <v>31</v>
      </c>
    </row>
    <row r="25" spans="2:4">
      <c r="B25" s="176" t="s">
        <v>24</v>
      </c>
      <c r="C25" s="184" t="s">
        <v>32</v>
      </c>
      <c r="D25" s="185" t="s">
        <v>33</v>
      </c>
    </row>
    <row r="26" spans="2:4">
      <c r="B26" s="176" t="s">
        <v>24</v>
      </c>
      <c r="C26" s="184" t="s">
        <v>34</v>
      </c>
      <c r="D26" s="185" t="s">
        <v>35</v>
      </c>
    </row>
    <row r="27" spans="2:4">
      <c r="B27" s="176" t="s">
        <v>24</v>
      </c>
      <c r="C27" s="184" t="s">
        <v>36</v>
      </c>
      <c r="D27" s="185" t="s">
        <v>37</v>
      </c>
    </row>
    <row r="28" spans="2:4">
      <c r="B28" s="176" t="s">
        <v>24</v>
      </c>
      <c r="C28" s="184" t="s">
        <v>38</v>
      </c>
      <c r="D28" s="185" t="s">
        <v>39</v>
      </c>
    </row>
    <row r="29" spans="2:4">
      <c r="B29" s="176" t="s">
        <v>24</v>
      </c>
      <c r="C29" s="184" t="s">
        <v>40</v>
      </c>
      <c r="D29" s="185" t="s">
        <v>41</v>
      </c>
    </row>
    <row r="30" spans="2:4">
      <c r="B30" s="176" t="s">
        <v>24</v>
      </c>
      <c r="C30" s="184" t="s">
        <v>42</v>
      </c>
      <c r="D30" s="185" t="s">
        <v>43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"/>
  <sheetViews>
    <sheetView showGridLines="0" showRowColHeaders="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"/>
  <sheetViews>
    <sheetView showGridLines="0" showRowColHeaders="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"/>
  <sheetViews>
    <sheetView showGridLines="0" showRowColHeaders="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"/>
  <sheetViews>
    <sheetView showGridLines="0" showRowColHeaders="0" workbookViewId="0">
      <selection activeCell="T34" sqref="T34"/>
    </sheetView>
  </sheetViews>
  <sheetFormatPr defaultColWidth="9" defaultRowHeight="13.5"/>
  <sheetData/>
  <pageMargins left="0.7" right="0.7" top="0.75" bottom="0.75" header="0.3" footer="0.3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tabColor theme="5" tint="0.399975585192419"/>
  </sheetPr>
  <dimension ref="A1:AL69"/>
  <sheetViews>
    <sheetView workbookViewId="0">
      <selection activeCell="C4" sqref="C4"/>
    </sheetView>
  </sheetViews>
  <sheetFormatPr defaultColWidth="8.83333333333333" defaultRowHeight="13.5"/>
  <cols>
    <col min="1" max="1" width="12" customWidth="1"/>
    <col min="2" max="2" width="105" customWidth="1"/>
    <col min="3" max="3" width="9.5" style="115" customWidth="1"/>
    <col min="4" max="4" width="11.5" style="115" customWidth="1"/>
  </cols>
  <sheetData>
    <row r="1" spans="1:37">
      <c r="A1">
        <f>ROW(A1)</f>
        <v>1</v>
      </c>
      <c r="B1" t="s">
        <v>106</v>
      </c>
      <c r="C1" s="115">
        <v>2016</v>
      </c>
      <c r="D1" s="115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  <c r="M1">
        <v>2026</v>
      </c>
      <c r="N1">
        <v>2027</v>
      </c>
      <c r="O1">
        <v>2028</v>
      </c>
      <c r="P1">
        <v>2029</v>
      </c>
      <c r="Q1">
        <v>2030</v>
      </c>
      <c r="R1">
        <v>2031</v>
      </c>
      <c r="S1">
        <v>2032</v>
      </c>
      <c r="T1">
        <v>2033</v>
      </c>
      <c r="U1">
        <v>2034</v>
      </c>
      <c r="V1">
        <v>2035</v>
      </c>
      <c r="W1">
        <v>2036</v>
      </c>
      <c r="X1">
        <v>2037</v>
      </c>
      <c r="Y1">
        <v>2038</v>
      </c>
      <c r="Z1">
        <v>2039</v>
      </c>
      <c r="AA1">
        <v>2040</v>
      </c>
      <c r="AB1">
        <v>2041</v>
      </c>
      <c r="AC1">
        <v>2042</v>
      </c>
      <c r="AD1">
        <v>2043</v>
      </c>
      <c r="AE1">
        <v>2044</v>
      </c>
      <c r="AF1">
        <v>2045</v>
      </c>
      <c r="AG1">
        <v>2046</v>
      </c>
      <c r="AH1">
        <v>2047</v>
      </c>
      <c r="AI1">
        <v>2048</v>
      </c>
      <c r="AJ1">
        <v>2049</v>
      </c>
      <c r="AK1">
        <v>2050</v>
      </c>
    </row>
    <row r="2" spans="1:37">
      <c r="A2">
        <f t="shared" ref="A2:A24" si="0">ROW(A2)</f>
        <v>2</v>
      </c>
      <c r="B2" t="s">
        <v>107</v>
      </c>
      <c r="C2" s="116">
        <v>1016</v>
      </c>
      <c r="D2" s="116">
        <v>1077</v>
      </c>
      <c r="E2" s="1">
        <f>HLOOKUP('Sectoral Slopes'!E$1,'IAI 1.5'!$B$21:$G$28,8,FALSE)</f>
        <v>1094.74210529909</v>
      </c>
      <c r="F2" s="1" t="e">
        <f>HLOOKUP('Sectoral Slopes'!F$1,'IAI 1.5'!$B$21:$G$28,8,FALSE)</f>
        <v>#N/A</v>
      </c>
      <c r="G2" s="1" t="e">
        <f>HLOOKUP('Sectoral Slopes'!G$1,'IAI 1.5'!$B$21:$G$28,8,FALSE)</f>
        <v>#N/A</v>
      </c>
      <c r="H2" s="1" t="e">
        <f>HLOOKUP('Sectoral Slopes'!H$1,'IAI 1.5'!$B$21:$G$28,8,FALSE)</f>
        <v>#N/A</v>
      </c>
      <c r="I2" s="1" t="e">
        <f>HLOOKUP('Sectoral Slopes'!I$1,'IAI 1.5'!$B$21:$G$28,8,FALSE)</f>
        <v>#N/A</v>
      </c>
      <c r="J2" s="1" t="e">
        <f>HLOOKUP('Sectoral Slopes'!J$1,'IAI 1.5'!$B$21:$G$28,8,FALSE)</f>
        <v>#N/A</v>
      </c>
      <c r="K2" s="1" t="e">
        <f>HLOOKUP('Sectoral Slopes'!K$1,'IAI 1.5'!$B$21:$G$28,8,FALSE)</f>
        <v>#N/A</v>
      </c>
      <c r="L2" s="1" t="e">
        <f>HLOOKUP('Sectoral Slopes'!L$1,'IAI 1.5'!$B$21:$G$28,8,FALSE)</f>
        <v>#N/A</v>
      </c>
      <c r="M2" s="1" t="e">
        <f>HLOOKUP('Sectoral Slopes'!M$1,'IAI 1.5'!$B$21:$G$28,8,FALSE)</f>
        <v>#N/A</v>
      </c>
      <c r="N2" s="1" t="e">
        <f>HLOOKUP('Sectoral Slopes'!N$1,'IAI 1.5'!$B$21:$G$28,8,FALSE)</f>
        <v>#N/A</v>
      </c>
      <c r="O2" s="1" t="e">
        <f>HLOOKUP('Sectoral Slopes'!O$1,'IAI 1.5'!$B$21:$G$28,8,FALSE)</f>
        <v>#N/A</v>
      </c>
      <c r="P2" s="1" t="e">
        <f>HLOOKUP('Sectoral Slopes'!P$1,'IAI 1.5'!$B$21:$G$28,8,FALSE)</f>
        <v>#N/A</v>
      </c>
      <c r="Q2" s="1">
        <f>HLOOKUP('Sectoral Slopes'!Q$1,'IAI 1.5'!$B$21:$G$28,8,FALSE)</f>
        <v>812.687699486777</v>
      </c>
      <c r="R2" s="1" t="e">
        <f>HLOOKUP('Sectoral Slopes'!R$1,'IAI 1.5'!$B$21:$G$28,8,FALSE)</f>
        <v>#N/A</v>
      </c>
      <c r="S2" s="1" t="e">
        <f>HLOOKUP('Sectoral Slopes'!S$1,'IAI 1.5'!$B$21:$G$28,8,FALSE)</f>
        <v>#N/A</v>
      </c>
      <c r="T2" s="1" t="e">
        <f>HLOOKUP('Sectoral Slopes'!T$1,'IAI 1.5'!$B$21:$G$28,8,FALSE)</f>
        <v>#N/A</v>
      </c>
      <c r="U2" s="1" t="e">
        <f>HLOOKUP('Sectoral Slopes'!U$1,'IAI 1.5'!$B$21:$G$28,8,FALSE)</f>
        <v>#N/A</v>
      </c>
      <c r="V2" s="1">
        <f>HLOOKUP('Sectoral Slopes'!V$1,'IAI 1.5'!$B$21:$G$28,8,FALSE)</f>
        <v>340.712614403834</v>
      </c>
      <c r="W2" s="1" t="e">
        <f>HLOOKUP('Sectoral Slopes'!W$1,'IAI 1.5'!$B$21:$G$28,8,FALSE)</f>
        <v>#N/A</v>
      </c>
      <c r="X2" s="1" t="e">
        <f>HLOOKUP('Sectoral Slopes'!X$1,'IAI 1.5'!$B$21:$G$28,8,FALSE)</f>
        <v>#N/A</v>
      </c>
      <c r="Y2" s="1" t="e">
        <f>HLOOKUP('Sectoral Slopes'!Y$1,'IAI 1.5'!$B$21:$G$28,8,FALSE)</f>
        <v>#N/A</v>
      </c>
      <c r="Z2" s="1" t="e">
        <f>HLOOKUP('Sectoral Slopes'!Z$1,'IAI 1.5'!$B$21:$G$28,8,FALSE)</f>
        <v>#N/A</v>
      </c>
      <c r="AA2" s="1">
        <f>HLOOKUP('Sectoral Slopes'!AA$1,'IAI 1.5'!$B$21:$G$28,8,FALSE)</f>
        <v>198.215386130857</v>
      </c>
      <c r="AB2" s="1" t="e">
        <f>HLOOKUP('Sectoral Slopes'!AB$1,'IAI 1.5'!$B$21:$G$28,8,FALSE)</f>
        <v>#N/A</v>
      </c>
      <c r="AC2" s="1" t="e">
        <f>HLOOKUP('Sectoral Slopes'!AC$1,'IAI 1.5'!$B$21:$G$28,8,FALSE)</f>
        <v>#N/A</v>
      </c>
      <c r="AD2" s="1" t="e">
        <f>HLOOKUP('Sectoral Slopes'!AD$1,'IAI 1.5'!$B$21:$G$28,8,FALSE)</f>
        <v>#N/A</v>
      </c>
      <c r="AE2" s="1" t="e">
        <f>HLOOKUP('Sectoral Slopes'!AE$1,'IAI 1.5'!$B$21:$G$28,8,FALSE)</f>
        <v>#N/A</v>
      </c>
      <c r="AF2" s="1">
        <f>HLOOKUP('Sectoral Slopes'!AF$1,'IAI 1.5'!$B$21:$G$28,8,FALSE)</f>
        <v>120.742679154559</v>
      </c>
      <c r="AG2" s="1" t="e">
        <f>HLOOKUP('Sectoral Slopes'!AG$1,'IAI 1.5'!$B$21:$G$28,8,FALSE)</f>
        <v>#N/A</v>
      </c>
      <c r="AH2" s="1" t="e">
        <f>HLOOKUP('Sectoral Slopes'!AH$1,'IAI 1.5'!$B$21:$G$28,8,FALSE)</f>
        <v>#N/A</v>
      </c>
      <c r="AI2" s="1" t="e">
        <f>HLOOKUP('Sectoral Slopes'!AI$1,'IAI 1.5'!$B$21:$G$28,8,FALSE)</f>
        <v>#N/A</v>
      </c>
      <c r="AJ2" s="1" t="e">
        <f>HLOOKUP('Sectoral Slopes'!AJ$1,'IAI 1.5'!$B$21:$G$28,8,FALSE)</f>
        <v>#N/A</v>
      </c>
      <c r="AK2" s="1">
        <f>HLOOKUP('Sectoral Slopes'!AK$1,'IAI 1.5'!$B$21:$G$28,8,FALSE)</f>
        <v>53.1372990992482</v>
      </c>
    </row>
    <row r="3" spans="1:37">
      <c r="A3">
        <f t="shared" si="0"/>
        <v>3</v>
      </c>
      <c r="C3"/>
      <c r="D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>
      <c r="A4">
        <f t="shared" si="0"/>
        <v>4</v>
      </c>
      <c r="B4" t="s">
        <v>108</v>
      </c>
      <c r="C4" s="117">
        <f>D4</f>
        <v>1036.58887708048</v>
      </c>
      <c r="D4" s="117">
        <f>E4</f>
        <v>1036.58887708048</v>
      </c>
      <c r="E4" s="1">
        <f>HLOOKUP('Sectoral Slopes'!E1,'IAI 1.5'!$B$21:$G$28,2,FALSE)</f>
        <v>1036.58887708048</v>
      </c>
      <c r="F4" s="1" t="e">
        <f>HLOOKUP('Sectoral Slopes'!F1,'IAI 1.5'!$B$21:$G$28,2,FALSE)</f>
        <v>#N/A</v>
      </c>
      <c r="G4" s="1" t="e">
        <f>HLOOKUP('Sectoral Slopes'!G1,'IAI 1.5'!$B$21:$G$28,2,FALSE)</f>
        <v>#N/A</v>
      </c>
      <c r="H4" s="1" t="e">
        <f>HLOOKUP('Sectoral Slopes'!H1,'IAI 1.5'!$B$21:$G$28,2,FALSE)</f>
        <v>#N/A</v>
      </c>
      <c r="I4" s="1" t="e">
        <f>HLOOKUP('Sectoral Slopes'!I1,'IAI 1.5'!$B$21:$G$28,2,FALSE)</f>
        <v>#N/A</v>
      </c>
      <c r="J4" s="1" t="e">
        <f>HLOOKUP('Sectoral Slopes'!J1,'IAI 1.5'!$B$21:$G$28,2,FALSE)</f>
        <v>#N/A</v>
      </c>
      <c r="K4" s="1" t="e">
        <f>HLOOKUP('Sectoral Slopes'!K1,'IAI 1.5'!$B$21:$G$28,2,FALSE)</f>
        <v>#N/A</v>
      </c>
      <c r="L4" s="1" t="e">
        <f>HLOOKUP('Sectoral Slopes'!L1,'IAI 1.5'!$B$21:$G$28,2,FALSE)</f>
        <v>#N/A</v>
      </c>
      <c r="M4" s="1" t="e">
        <f>HLOOKUP('Sectoral Slopes'!M1,'IAI 1.5'!$B$21:$G$28,2,FALSE)</f>
        <v>#N/A</v>
      </c>
      <c r="N4" s="1" t="e">
        <f>HLOOKUP('Sectoral Slopes'!N1,'IAI 1.5'!$B$21:$G$28,2,FALSE)</f>
        <v>#N/A</v>
      </c>
      <c r="O4" s="1" t="e">
        <f>HLOOKUP('Sectoral Slopes'!O1,'IAI 1.5'!$B$21:$G$28,2,FALSE)</f>
        <v>#N/A</v>
      </c>
      <c r="P4" s="1" t="e">
        <f>HLOOKUP('Sectoral Slopes'!P1,'IAI 1.5'!$B$21:$G$28,2,FALSE)</f>
        <v>#N/A</v>
      </c>
      <c r="Q4" s="1">
        <f>HLOOKUP('Sectoral Slopes'!Q1,'IAI 1.5'!$B$21:$G$28,2,FALSE)</f>
        <v>756.077466213819</v>
      </c>
      <c r="R4" s="1" t="e">
        <f>HLOOKUP('Sectoral Slopes'!R1,'IAI 1.5'!$B$21:$G$28,2,FALSE)</f>
        <v>#N/A</v>
      </c>
      <c r="S4" s="1" t="e">
        <f>HLOOKUP('Sectoral Slopes'!S1,'IAI 1.5'!$B$21:$G$28,2,FALSE)</f>
        <v>#N/A</v>
      </c>
      <c r="T4" s="1" t="e">
        <f>HLOOKUP('Sectoral Slopes'!T1,'IAI 1.5'!$B$21:$G$28,2,FALSE)</f>
        <v>#N/A</v>
      </c>
      <c r="U4" s="1" t="e">
        <f>HLOOKUP('Sectoral Slopes'!U1,'IAI 1.5'!$B$21:$G$28,2,FALSE)</f>
        <v>#N/A</v>
      </c>
      <c r="V4" s="1">
        <f>HLOOKUP('Sectoral Slopes'!V1,'IAI 1.5'!$B$21:$G$28,2,FALSE)</f>
        <v>289.269442214061</v>
      </c>
      <c r="W4" s="1" t="e">
        <f>HLOOKUP('Sectoral Slopes'!W1,'IAI 1.5'!$B$21:$G$28,2,FALSE)</f>
        <v>#N/A</v>
      </c>
      <c r="X4" s="1" t="e">
        <f>HLOOKUP('Sectoral Slopes'!X1,'IAI 1.5'!$B$21:$G$28,2,FALSE)</f>
        <v>#N/A</v>
      </c>
      <c r="Y4" s="1" t="e">
        <f>HLOOKUP('Sectoral Slopes'!Y1,'IAI 1.5'!$B$21:$G$28,2,FALSE)</f>
        <v>#N/A</v>
      </c>
      <c r="Z4" s="1" t="e">
        <f>HLOOKUP('Sectoral Slopes'!Z1,'IAI 1.5'!$B$21:$G$28,2,FALSE)</f>
        <v>#N/A</v>
      </c>
      <c r="AA4" s="1">
        <f>HLOOKUP('Sectoral Slopes'!AA1,'IAI 1.5'!$B$21:$G$28,2,FALSE)</f>
        <v>154.760140298824</v>
      </c>
      <c r="AB4" s="1" t="e">
        <f>HLOOKUP('Sectoral Slopes'!AB1,'IAI 1.5'!$B$21:$G$28,2,FALSE)</f>
        <v>#N/A</v>
      </c>
      <c r="AC4" s="1" t="e">
        <f>HLOOKUP('Sectoral Slopes'!AC1,'IAI 1.5'!$B$21:$G$28,2,FALSE)</f>
        <v>#N/A</v>
      </c>
      <c r="AD4" s="1" t="e">
        <f>HLOOKUP('Sectoral Slopes'!AD1,'IAI 1.5'!$B$21:$G$28,2,FALSE)</f>
        <v>#N/A</v>
      </c>
      <c r="AE4" s="1" t="e">
        <f>HLOOKUP('Sectoral Slopes'!AE1,'IAI 1.5'!$B$21:$G$28,2,FALSE)</f>
        <v>#N/A</v>
      </c>
      <c r="AF4" s="1">
        <f>HLOOKUP('Sectoral Slopes'!AF1,'IAI 1.5'!$B$21:$G$28,2,FALSE)</f>
        <v>87.3096982544427</v>
      </c>
      <c r="AG4" s="1" t="e">
        <f>HLOOKUP('Sectoral Slopes'!AG1,'IAI 1.5'!$B$21:$G$28,2,FALSE)</f>
        <v>#N/A</v>
      </c>
      <c r="AH4" s="1" t="e">
        <f>HLOOKUP('Sectoral Slopes'!AH1,'IAI 1.5'!$B$21:$G$28,2,FALSE)</f>
        <v>#N/A</v>
      </c>
      <c r="AI4" s="1" t="e">
        <f>HLOOKUP('Sectoral Slopes'!AI1,'IAI 1.5'!$B$21:$G$28,2,FALSE)</f>
        <v>#N/A</v>
      </c>
      <c r="AJ4" s="1" t="e">
        <f>HLOOKUP('Sectoral Slopes'!AJ1,'IAI 1.5'!$B$21:$G$28,2,FALSE)</f>
        <v>#N/A</v>
      </c>
      <c r="AK4" s="1">
        <f>HLOOKUP('Sectoral Slopes'!AK1,'IAI 1.5'!$B$21:$G$28,2,FALSE)</f>
        <v>35.1304664380632</v>
      </c>
    </row>
    <row r="5" spans="1:37">
      <c r="A5">
        <f t="shared" si="0"/>
        <v>5</v>
      </c>
      <c r="B5" t="s">
        <v>109</v>
      </c>
      <c r="C5" s="117">
        <f t="shared" ref="C5:D5" si="1">D5</f>
        <v>18.6744746538002</v>
      </c>
      <c r="D5" s="117">
        <f t="shared" si="1"/>
        <v>18.6744746538002</v>
      </c>
      <c r="E5" s="1">
        <f>HLOOKUP('Sectoral Slopes'!E$1,'IAI 1.5'!$B$21:$G$28,5,FALSE)</f>
        <v>18.6744746538002</v>
      </c>
      <c r="F5" s="1" t="e">
        <f>HLOOKUP('Sectoral Slopes'!F$1,'IAI 1.5'!$B$21:$G$28,5,FALSE)</f>
        <v>#N/A</v>
      </c>
      <c r="G5" s="1" t="e">
        <f>HLOOKUP('Sectoral Slopes'!G$1,'IAI 1.5'!$B$21:$G$28,5,FALSE)</f>
        <v>#N/A</v>
      </c>
      <c r="H5" s="1" t="e">
        <f>HLOOKUP('Sectoral Slopes'!H$1,'IAI 1.5'!$B$21:$G$28,5,FALSE)</f>
        <v>#N/A</v>
      </c>
      <c r="I5" s="1" t="e">
        <f>HLOOKUP('Sectoral Slopes'!I$1,'IAI 1.5'!$B$21:$G$28,5,FALSE)</f>
        <v>#N/A</v>
      </c>
      <c r="J5" s="1" t="e">
        <f>HLOOKUP('Sectoral Slopes'!J$1,'IAI 1.5'!$B$21:$G$28,5,FALSE)</f>
        <v>#N/A</v>
      </c>
      <c r="K5" s="1" t="e">
        <f>HLOOKUP('Sectoral Slopes'!K$1,'IAI 1.5'!$B$21:$G$28,5,FALSE)</f>
        <v>#N/A</v>
      </c>
      <c r="L5" s="1" t="e">
        <f>HLOOKUP('Sectoral Slopes'!L$1,'IAI 1.5'!$B$21:$G$28,5,FALSE)</f>
        <v>#N/A</v>
      </c>
      <c r="M5" s="1" t="e">
        <f>HLOOKUP('Sectoral Slopes'!M$1,'IAI 1.5'!$B$21:$G$28,5,FALSE)</f>
        <v>#N/A</v>
      </c>
      <c r="N5" s="1" t="e">
        <f>HLOOKUP('Sectoral Slopes'!N$1,'IAI 1.5'!$B$21:$G$28,5,FALSE)</f>
        <v>#N/A</v>
      </c>
      <c r="O5" s="1" t="e">
        <f>HLOOKUP('Sectoral Slopes'!O$1,'IAI 1.5'!$B$21:$G$28,5,FALSE)</f>
        <v>#N/A</v>
      </c>
      <c r="P5" s="1" t="e">
        <f>HLOOKUP('Sectoral Slopes'!P$1,'IAI 1.5'!$B$21:$G$28,5,FALSE)</f>
        <v>#N/A</v>
      </c>
      <c r="Q5" s="1">
        <f>HLOOKUP('Sectoral Slopes'!Q$1,'IAI 1.5'!$B$21:$G$28,5,FALSE)</f>
        <v>22.3145902118888</v>
      </c>
      <c r="R5" s="1" t="e">
        <f>HLOOKUP('Sectoral Slopes'!R$1,'IAI 1.5'!$B$21:$G$28,5,FALSE)</f>
        <v>#N/A</v>
      </c>
      <c r="S5" s="1" t="e">
        <f>HLOOKUP('Sectoral Slopes'!S$1,'IAI 1.5'!$B$21:$G$28,5,FALSE)</f>
        <v>#N/A</v>
      </c>
      <c r="T5" s="1" t="e">
        <f>HLOOKUP('Sectoral Slopes'!T$1,'IAI 1.5'!$B$21:$G$28,5,FALSE)</f>
        <v>#N/A</v>
      </c>
      <c r="U5" s="1" t="e">
        <f>HLOOKUP('Sectoral Slopes'!U$1,'IAI 1.5'!$B$21:$G$28,5,FALSE)</f>
        <v>#N/A</v>
      </c>
      <c r="V5" s="1">
        <f>HLOOKUP('Sectoral Slopes'!V$1,'IAI 1.5'!$B$21:$G$28,5,FALSE)</f>
        <v>20.3558120305504</v>
      </c>
      <c r="W5" s="1" t="e">
        <f>HLOOKUP('Sectoral Slopes'!W$1,'IAI 1.5'!$B$21:$G$28,5,FALSE)</f>
        <v>#N/A</v>
      </c>
      <c r="X5" s="1" t="e">
        <f>HLOOKUP('Sectoral Slopes'!X$1,'IAI 1.5'!$B$21:$G$28,5,FALSE)</f>
        <v>#N/A</v>
      </c>
      <c r="Y5" s="1" t="e">
        <f>HLOOKUP('Sectoral Slopes'!Y$1,'IAI 1.5'!$B$21:$G$28,5,FALSE)</f>
        <v>#N/A</v>
      </c>
      <c r="Z5" s="1" t="e">
        <f>HLOOKUP('Sectoral Slopes'!Z$1,'IAI 1.5'!$B$21:$G$28,5,FALSE)</f>
        <v>#N/A</v>
      </c>
      <c r="AA5" s="1">
        <f>HLOOKUP('Sectoral Slopes'!AA$1,'IAI 1.5'!$B$21:$G$28,5,FALSE)</f>
        <v>16.0305927680449</v>
      </c>
      <c r="AB5" s="1" t="e">
        <f>HLOOKUP('Sectoral Slopes'!AB$1,'IAI 1.5'!$B$21:$G$28,5,FALSE)</f>
        <v>#N/A</v>
      </c>
      <c r="AC5" s="1" t="e">
        <f>HLOOKUP('Sectoral Slopes'!AC$1,'IAI 1.5'!$B$21:$G$28,5,FALSE)</f>
        <v>#N/A</v>
      </c>
      <c r="AD5" s="1" t="e">
        <f>HLOOKUP('Sectoral Slopes'!AD$1,'IAI 1.5'!$B$21:$G$28,5,FALSE)</f>
        <v>#N/A</v>
      </c>
      <c r="AE5" s="1" t="e">
        <f>HLOOKUP('Sectoral Slopes'!AE$1,'IAI 1.5'!$B$21:$G$28,5,FALSE)</f>
        <v>#N/A</v>
      </c>
      <c r="AF5" s="1">
        <f>HLOOKUP('Sectoral Slopes'!AF$1,'IAI 1.5'!$B$21:$G$28,5,FALSE)</f>
        <v>9.54031217875824</v>
      </c>
      <c r="AG5" s="1" t="e">
        <f>HLOOKUP('Sectoral Slopes'!AG$1,'IAI 1.5'!$B$21:$G$28,5,FALSE)</f>
        <v>#N/A</v>
      </c>
      <c r="AH5" s="1" t="e">
        <f>HLOOKUP('Sectoral Slopes'!AH$1,'IAI 1.5'!$B$21:$G$28,5,FALSE)</f>
        <v>#N/A</v>
      </c>
      <c r="AI5" s="1" t="e">
        <f>HLOOKUP('Sectoral Slopes'!AI$1,'IAI 1.5'!$B$21:$G$28,5,FALSE)</f>
        <v>#N/A</v>
      </c>
      <c r="AJ5" s="1" t="e">
        <f>HLOOKUP('Sectoral Slopes'!AJ$1,'IAI 1.5'!$B$21:$G$28,5,FALSE)</f>
        <v>#N/A</v>
      </c>
      <c r="AK5" s="1">
        <f>HLOOKUP('Sectoral Slopes'!AK$1,'IAI 1.5'!$B$21:$G$28,5,FALSE)</f>
        <v>8.40422284349716</v>
      </c>
    </row>
    <row r="6" spans="1:37">
      <c r="A6">
        <f t="shared" si="0"/>
        <v>6</v>
      </c>
      <c r="B6" t="s">
        <v>110</v>
      </c>
      <c r="C6" s="117">
        <f t="shared" ref="C6:D6" si="2">D6</f>
        <v>10.9453752239736</v>
      </c>
      <c r="D6" s="117">
        <f t="shared" si="2"/>
        <v>10.9453752239736</v>
      </c>
      <c r="E6" s="1">
        <f>HLOOKUP('Sectoral Slopes'!E$1,'IAI 1.5'!$B$21:$G$28,6,FALSE)</f>
        <v>10.9453752239736</v>
      </c>
      <c r="F6" s="1" t="e">
        <f>HLOOKUP('Sectoral Slopes'!F$1,'IAI 1.5'!$B$21:$G$28,6,FALSE)</f>
        <v>#N/A</v>
      </c>
      <c r="G6" s="1" t="e">
        <f>HLOOKUP('Sectoral Slopes'!G$1,'IAI 1.5'!$B$21:$G$28,6,FALSE)</f>
        <v>#N/A</v>
      </c>
      <c r="H6" s="1" t="e">
        <f>HLOOKUP('Sectoral Slopes'!H$1,'IAI 1.5'!$B$21:$G$28,6,FALSE)</f>
        <v>#N/A</v>
      </c>
      <c r="I6" s="1" t="e">
        <f>HLOOKUP('Sectoral Slopes'!I$1,'IAI 1.5'!$B$21:$G$28,6,FALSE)</f>
        <v>#N/A</v>
      </c>
      <c r="J6" s="1" t="e">
        <f>HLOOKUP('Sectoral Slopes'!J$1,'IAI 1.5'!$B$21:$G$28,6,FALSE)</f>
        <v>#N/A</v>
      </c>
      <c r="K6" s="1" t="e">
        <f>HLOOKUP('Sectoral Slopes'!K$1,'IAI 1.5'!$B$21:$G$28,6,FALSE)</f>
        <v>#N/A</v>
      </c>
      <c r="L6" s="1" t="e">
        <f>HLOOKUP('Sectoral Slopes'!L$1,'IAI 1.5'!$B$21:$G$28,6,FALSE)</f>
        <v>#N/A</v>
      </c>
      <c r="M6" s="1" t="e">
        <f>HLOOKUP('Sectoral Slopes'!M$1,'IAI 1.5'!$B$21:$G$28,6,FALSE)</f>
        <v>#N/A</v>
      </c>
      <c r="N6" s="1" t="e">
        <f>HLOOKUP('Sectoral Slopes'!N$1,'IAI 1.5'!$B$21:$G$28,6,FALSE)</f>
        <v>#N/A</v>
      </c>
      <c r="O6" s="1" t="e">
        <f>HLOOKUP('Sectoral Slopes'!O$1,'IAI 1.5'!$B$21:$G$28,6,FALSE)</f>
        <v>#N/A</v>
      </c>
      <c r="P6" s="1" t="e">
        <f>HLOOKUP('Sectoral Slopes'!P$1,'IAI 1.5'!$B$21:$G$28,6,FALSE)</f>
        <v>#N/A</v>
      </c>
      <c r="Q6" s="1">
        <f>HLOOKUP('Sectoral Slopes'!Q$1,'IAI 1.5'!$B$21:$G$28,6,FALSE)</f>
        <v>8.75940153684225</v>
      </c>
      <c r="R6" s="1" t="e">
        <f>HLOOKUP('Sectoral Slopes'!R$1,'IAI 1.5'!$B$21:$G$28,6,FALSE)</f>
        <v>#N/A</v>
      </c>
      <c r="S6" s="1" t="e">
        <f>HLOOKUP('Sectoral Slopes'!S$1,'IAI 1.5'!$B$21:$G$28,6,FALSE)</f>
        <v>#N/A</v>
      </c>
      <c r="T6" s="1" t="e">
        <f>HLOOKUP('Sectoral Slopes'!T$1,'IAI 1.5'!$B$21:$G$28,6,FALSE)</f>
        <v>#N/A</v>
      </c>
      <c r="U6" s="1" t="e">
        <f>HLOOKUP('Sectoral Slopes'!U$1,'IAI 1.5'!$B$21:$G$28,6,FALSE)</f>
        <v>#N/A</v>
      </c>
      <c r="V6" s="1">
        <f>HLOOKUP('Sectoral Slopes'!V$1,'IAI 1.5'!$B$21:$G$28,6,FALSE)</f>
        <v>6.66145902353824</v>
      </c>
      <c r="W6" s="1" t="e">
        <f>HLOOKUP('Sectoral Slopes'!W$1,'IAI 1.5'!$B$21:$G$28,6,FALSE)</f>
        <v>#N/A</v>
      </c>
      <c r="X6" s="1" t="e">
        <f>HLOOKUP('Sectoral Slopes'!X$1,'IAI 1.5'!$B$21:$G$28,6,FALSE)</f>
        <v>#N/A</v>
      </c>
      <c r="Y6" s="1" t="e">
        <f>HLOOKUP('Sectoral Slopes'!Y$1,'IAI 1.5'!$B$21:$G$28,6,FALSE)</f>
        <v>#N/A</v>
      </c>
      <c r="Z6" s="1" t="e">
        <f>HLOOKUP('Sectoral Slopes'!Z$1,'IAI 1.5'!$B$21:$G$28,6,FALSE)</f>
        <v>#N/A</v>
      </c>
      <c r="AA6" s="1">
        <f>HLOOKUP('Sectoral Slopes'!AA$1,'IAI 1.5'!$B$21:$G$28,6,FALSE)</f>
        <v>4.55710186684585</v>
      </c>
      <c r="AB6" s="1" t="e">
        <f>HLOOKUP('Sectoral Slopes'!AB$1,'IAI 1.5'!$B$21:$G$28,6,FALSE)</f>
        <v>#N/A</v>
      </c>
      <c r="AC6" s="1" t="e">
        <f>HLOOKUP('Sectoral Slopes'!AC$1,'IAI 1.5'!$B$21:$G$28,6,FALSE)</f>
        <v>#N/A</v>
      </c>
      <c r="AD6" s="1" t="e">
        <f>HLOOKUP('Sectoral Slopes'!AD$1,'IAI 1.5'!$B$21:$G$28,6,FALSE)</f>
        <v>#N/A</v>
      </c>
      <c r="AE6" s="1" t="e">
        <f>HLOOKUP('Sectoral Slopes'!AE$1,'IAI 1.5'!$B$21:$G$28,6,FALSE)</f>
        <v>#N/A</v>
      </c>
      <c r="AF6" s="1">
        <f>HLOOKUP('Sectoral Slopes'!AF$1,'IAI 1.5'!$B$21:$G$28,6,FALSE)</f>
        <v>2.87309335867868</v>
      </c>
      <c r="AG6" s="1" t="e">
        <f>HLOOKUP('Sectoral Slopes'!AG$1,'IAI 1.5'!$B$21:$G$28,6,FALSE)</f>
        <v>#N/A</v>
      </c>
      <c r="AH6" s="1" t="e">
        <f>HLOOKUP('Sectoral Slopes'!AH$1,'IAI 1.5'!$B$21:$G$28,6,FALSE)</f>
        <v>#N/A</v>
      </c>
      <c r="AI6" s="1" t="e">
        <f>HLOOKUP('Sectoral Slopes'!AI$1,'IAI 1.5'!$B$21:$G$28,6,FALSE)</f>
        <v>#N/A</v>
      </c>
      <c r="AJ6" s="1" t="e">
        <f>HLOOKUP('Sectoral Slopes'!AJ$1,'IAI 1.5'!$B$21:$G$28,6,FALSE)</f>
        <v>#N/A</v>
      </c>
      <c r="AK6" s="1">
        <f>HLOOKUP('Sectoral Slopes'!AK$1,'IAI 1.5'!$B$21:$G$28,6,FALSE)</f>
        <v>1.18631820896176</v>
      </c>
    </row>
    <row r="7" spans="1:37">
      <c r="A7">
        <f t="shared" si="0"/>
        <v>7</v>
      </c>
      <c r="B7" t="s">
        <v>111</v>
      </c>
      <c r="C7" s="117">
        <f t="shared" ref="C7:D7" si="3">D7</f>
        <v>28.5333783408367</v>
      </c>
      <c r="D7" s="117">
        <f t="shared" si="3"/>
        <v>28.5333783408367</v>
      </c>
      <c r="E7" s="1">
        <f>HLOOKUP('Sectoral Slopes'!E$1,'IAI 1.5'!$B$21:$G$28,7,FALSE)</f>
        <v>28.5333783408367</v>
      </c>
      <c r="F7" s="1" t="e">
        <f>HLOOKUP('Sectoral Slopes'!F$1,'IAI 1.5'!$B$21:$G$28,7,FALSE)</f>
        <v>#N/A</v>
      </c>
      <c r="G7" s="1" t="e">
        <f>HLOOKUP('Sectoral Slopes'!G$1,'IAI 1.5'!$B$21:$G$28,7,FALSE)</f>
        <v>#N/A</v>
      </c>
      <c r="H7" s="1" t="e">
        <f>HLOOKUP('Sectoral Slopes'!H$1,'IAI 1.5'!$B$21:$G$28,7,FALSE)</f>
        <v>#N/A</v>
      </c>
      <c r="I7" s="1" t="e">
        <f>HLOOKUP('Sectoral Slopes'!I$1,'IAI 1.5'!$B$21:$G$28,7,FALSE)</f>
        <v>#N/A</v>
      </c>
      <c r="J7" s="1" t="e">
        <f>HLOOKUP('Sectoral Slopes'!J$1,'IAI 1.5'!$B$21:$G$28,7,FALSE)</f>
        <v>#N/A</v>
      </c>
      <c r="K7" s="1" t="e">
        <f>HLOOKUP('Sectoral Slopes'!K$1,'IAI 1.5'!$B$21:$G$28,7,FALSE)</f>
        <v>#N/A</v>
      </c>
      <c r="L7" s="1" t="e">
        <f>HLOOKUP('Sectoral Slopes'!L$1,'IAI 1.5'!$B$21:$G$28,7,FALSE)</f>
        <v>#N/A</v>
      </c>
      <c r="M7" s="1" t="e">
        <f>HLOOKUP('Sectoral Slopes'!M$1,'IAI 1.5'!$B$21:$G$28,7,FALSE)</f>
        <v>#N/A</v>
      </c>
      <c r="N7" s="1" t="e">
        <f>HLOOKUP('Sectoral Slopes'!N$1,'IAI 1.5'!$B$21:$G$28,7,FALSE)</f>
        <v>#N/A</v>
      </c>
      <c r="O7" s="1" t="e">
        <f>HLOOKUP('Sectoral Slopes'!O$1,'IAI 1.5'!$B$21:$G$28,7,FALSE)</f>
        <v>#N/A</v>
      </c>
      <c r="P7" s="1" t="e">
        <f>HLOOKUP('Sectoral Slopes'!P$1,'IAI 1.5'!$B$21:$G$28,7,FALSE)</f>
        <v>#N/A</v>
      </c>
      <c r="Q7" s="1">
        <f>HLOOKUP('Sectoral Slopes'!Q$1,'IAI 1.5'!$B$21:$G$28,7,FALSE)</f>
        <v>25.5362415242268</v>
      </c>
      <c r="R7" s="1" t="e">
        <f>HLOOKUP('Sectoral Slopes'!R$1,'IAI 1.5'!$B$21:$G$28,7,FALSE)</f>
        <v>#N/A</v>
      </c>
      <c r="S7" s="1" t="e">
        <f>HLOOKUP('Sectoral Slopes'!S$1,'IAI 1.5'!$B$21:$G$28,7,FALSE)</f>
        <v>#N/A</v>
      </c>
      <c r="T7" s="1" t="e">
        <f>HLOOKUP('Sectoral Slopes'!T$1,'IAI 1.5'!$B$21:$G$28,7,FALSE)</f>
        <v>#N/A</v>
      </c>
      <c r="U7" s="1" t="e">
        <f>HLOOKUP('Sectoral Slopes'!U$1,'IAI 1.5'!$B$21:$G$28,7,FALSE)</f>
        <v>#N/A</v>
      </c>
      <c r="V7" s="1">
        <f>HLOOKUP('Sectoral Slopes'!V$1,'IAI 1.5'!$B$21:$G$28,7,FALSE)</f>
        <v>24.4259011356843</v>
      </c>
      <c r="W7" s="1" t="e">
        <f>HLOOKUP('Sectoral Slopes'!W$1,'IAI 1.5'!$B$21:$G$28,7,FALSE)</f>
        <v>#N/A</v>
      </c>
      <c r="X7" s="1" t="e">
        <f>HLOOKUP('Sectoral Slopes'!X$1,'IAI 1.5'!$B$21:$G$28,7,FALSE)</f>
        <v>#N/A</v>
      </c>
      <c r="Y7" s="1" t="e">
        <f>HLOOKUP('Sectoral Slopes'!Y$1,'IAI 1.5'!$B$21:$G$28,7,FALSE)</f>
        <v>#N/A</v>
      </c>
      <c r="Z7" s="1" t="e">
        <f>HLOOKUP('Sectoral Slopes'!Z$1,'IAI 1.5'!$B$21:$G$28,7,FALSE)</f>
        <v>#N/A</v>
      </c>
      <c r="AA7" s="1">
        <f>HLOOKUP('Sectoral Slopes'!AA$1,'IAI 1.5'!$B$21:$G$28,7,FALSE)</f>
        <v>22.867551197143</v>
      </c>
      <c r="AB7" s="1" t="e">
        <f>HLOOKUP('Sectoral Slopes'!AB$1,'IAI 1.5'!$B$21:$G$28,7,FALSE)</f>
        <v>#N/A</v>
      </c>
      <c r="AC7" s="1" t="e">
        <f>HLOOKUP('Sectoral Slopes'!AC$1,'IAI 1.5'!$B$21:$G$28,7,FALSE)</f>
        <v>#N/A</v>
      </c>
      <c r="AD7" s="1" t="e">
        <f>HLOOKUP('Sectoral Slopes'!AD$1,'IAI 1.5'!$B$21:$G$28,7,FALSE)</f>
        <v>#N/A</v>
      </c>
      <c r="AE7" s="1" t="e">
        <f>HLOOKUP('Sectoral Slopes'!AE$1,'IAI 1.5'!$B$21:$G$28,7,FALSE)</f>
        <v>#N/A</v>
      </c>
      <c r="AF7" s="1">
        <f>HLOOKUP('Sectoral Slopes'!AF$1,'IAI 1.5'!$B$21:$G$28,7,FALSE)</f>
        <v>21.0195753626792</v>
      </c>
      <c r="AG7" s="1" t="e">
        <f>HLOOKUP('Sectoral Slopes'!AG$1,'IAI 1.5'!$B$21:$G$28,7,FALSE)</f>
        <v>#N/A</v>
      </c>
      <c r="AH7" s="1" t="e">
        <f>HLOOKUP('Sectoral Slopes'!AH$1,'IAI 1.5'!$B$21:$G$28,7,FALSE)</f>
        <v>#N/A</v>
      </c>
      <c r="AI7" s="1" t="e">
        <f>HLOOKUP('Sectoral Slopes'!AI$1,'IAI 1.5'!$B$21:$G$28,7,FALSE)</f>
        <v>#N/A</v>
      </c>
      <c r="AJ7" s="1" t="e">
        <f>HLOOKUP('Sectoral Slopes'!AJ$1,'IAI 1.5'!$B$21:$G$28,7,FALSE)</f>
        <v>#N/A</v>
      </c>
      <c r="AK7" s="1">
        <f>HLOOKUP('Sectoral Slopes'!AK$1,'IAI 1.5'!$B$21:$G$28,7,FALSE)</f>
        <v>8.41629160872605</v>
      </c>
    </row>
    <row r="8" spans="1:37">
      <c r="A8">
        <f t="shared" si="0"/>
        <v>8</v>
      </c>
      <c r="C8"/>
      <c r="D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>
      <c r="A9">
        <f t="shared" si="0"/>
        <v>9</v>
      </c>
      <c r="B9" t="s">
        <v>112</v>
      </c>
      <c r="C9" s="117">
        <f>D9</f>
        <v>64.335833</v>
      </c>
      <c r="D9" s="117">
        <f>E9</f>
        <v>64.335833</v>
      </c>
      <c r="E9" s="1">
        <f>HLOOKUP('Sectoral Slopes'!E$1,'IAI 1.5'!$B$34:$G$41,2,FALSE)</f>
        <v>64.335833</v>
      </c>
      <c r="F9" s="1" t="e">
        <f>HLOOKUP('Sectoral Slopes'!F$1,'IAI 1.5'!$B$34:$G$41,2,FALSE)</f>
        <v>#N/A</v>
      </c>
      <c r="G9" s="1" t="e">
        <f>HLOOKUP('Sectoral Slopes'!G$1,'IAI 1.5'!$B$34:$G$41,2,FALSE)</f>
        <v>#N/A</v>
      </c>
      <c r="H9" s="1" t="e">
        <f>HLOOKUP('Sectoral Slopes'!H$1,'IAI 1.5'!$B$34:$G$41,2,FALSE)</f>
        <v>#N/A</v>
      </c>
      <c r="I9" s="1" t="e">
        <f>HLOOKUP('Sectoral Slopes'!I$1,'IAI 1.5'!$B$34:$G$41,2,FALSE)</f>
        <v>#N/A</v>
      </c>
      <c r="J9" s="1" t="e">
        <f>HLOOKUP('Sectoral Slopes'!J$1,'IAI 1.5'!$B$34:$G$41,2,FALSE)</f>
        <v>#N/A</v>
      </c>
      <c r="K9" s="1" t="e">
        <f>HLOOKUP('Sectoral Slopes'!K$1,'IAI 1.5'!$B$34:$G$41,2,FALSE)</f>
        <v>#N/A</v>
      </c>
      <c r="L9" s="1" t="e">
        <f>HLOOKUP('Sectoral Slopes'!L$1,'IAI 1.5'!$B$34:$G$41,2,FALSE)</f>
        <v>#N/A</v>
      </c>
      <c r="M9" s="1" t="e">
        <f>HLOOKUP('Sectoral Slopes'!M$1,'IAI 1.5'!$B$34:$G$41,2,FALSE)</f>
        <v>#N/A</v>
      </c>
      <c r="N9" s="1" t="e">
        <f>HLOOKUP('Sectoral Slopes'!N$1,'IAI 1.5'!$B$34:$G$41,2,FALSE)</f>
        <v>#N/A</v>
      </c>
      <c r="O9" s="1" t="e">
        <f>HLOOKUP('Sectoral Slopes'!O$1,'IAI 1.5'!$B$34:$G$41,2,FALSE)</f>
        <v>#N/A</v>
      </c>
      <c r="P9" s="1" t="e">
        <f>HLOOKUP('Sectoral Slopes'!P$1,'IAI 1.5'!$B$34:$G$41,2,FALSE)</f>
        <v>#N/A</v>
      </c>
      <c r="Q9" s="1">
        <f>HLOOKUP('Sectoral Slopes'!Q$1,'IAI 1.5'!$B$34:$G$41,2,FALSE)</f>
        <v>65.6263777844428</v>
      </c>
      <c r="R9" s="1" t="e">
        <f>HLOOKUP('Sectoral Slopes'!R$1,'IAI 1.5'!$B$34:$G$41,2,FALSE)</f>
        <v>#N/A</v>
      </c>
      <c r="S9" s="1" t="e">
        <f>HLOOKUP('Sectoral Slopes'!S$1,'IAI 1.5'!$B$34:$G$41,2,FALSE)</f>
        <v>#N/A</v>
      </c>
      <c r="T9" s="1" t="e">
        <f>HLOOKUP('Sectoral Slopes'!T$1,'IAI 1.5'!$B$34:$G$41,2,FALSE)</f>
        <v>#N/A</v>
      </c>
      <c r="U9" s="1" t="e">
        <f>HLOOKUP('Sectoral Slopes'!U$1,'IAI 1.5'!$B$34:$G$41,2,FALSE)</f>
        <v>#N/A</v>
      </c>
      <c r="V9" s="1">
        <f>HLOOKUP('Sectoral Slopes'!V$1,'IAI 1.5'!$B$34:$G$41,2,FALSE)</f>
        <v>69.0366862868067</v>
      </c>
      <c r="W9" s="1" t="e">
        <f>HLOOKUP('Sectoral Slopes'!W$1,'IAI 1.5'!$B$34:$G$41,2,FALSE)</f>
        <v>#N/A</v>
      </c>
      <c r="X9" s="1" t="e">
        <f>HLOOKUP('Sectoral Slopes'!X$1,'IAI 1.5'!$B$34:$G$41,2,FALSE)</f>
        <v>#N/A</v>
      </c>
      <c r="Y9" s="1" t="e">
        <f>HLOOKUP('Sectoral Slopes'!Y$1,'IAI 1.5'!$B$34:$G$41,2,FALSE)</f>
        <v>#N/A</v>
      </c>
      <c r="Z9" s="1" t="e">
        <f>HLOOKUP('Sectoral Slopes'!Z$1,'IAI 1.5'!$B$34:$G$41,2,FALSE)</f>
        <v>#N/A</v>
      </c>
      <c r="AA9" s="1">
        <f>HLOOKUP('Sectoral Slopes'!AA$1,'IAI 1.5'!$B$34:$G$41,2,FALSE)</f>
        <v>71.0648235823417</v>
      </c>
      <c r="AB9" s="1" t="e">
        <f>HLOOKUP('Sectoral Slopes'!AB$1,'IAI 1.5'!$B$34:$G$41,2,FALSE)</f>
        <v>#N/A</v>
      </c>
      <c r="AC9" s="1" t="e">
        <f>HLOOKUP('Sectoral Slopes'!AC$1,'IAI 1.5'!$B$34:$G$41,2,FALSE)</f>
        <v>#N/A</v>
      </c>
      <c r="AD9" s="1" t="e">
        <f>HLOOKUP('Sectoral Slopes'!AD$1,'IAI 1.5'!$B$34:$G$41,2,FALSE)</f>
        <v>#N/A</v>
      </c>
      <c r="AE9" s="1" t="e">
        <f>HLOOKUP('Sectoral Slopes'!AE$1,'IAI 1.5'!$B$34:$G$41,2,FALSE)</f>
        <v>#N/A</v>
      </c>
      <c r="AF9" s="1">
        <f>HLOOKUP('Sectoral Slopes'!AF$1,'IAI 1.5'!$B$34:$G$41,2,FALSE)</f>
        <v>69.9785096964687</v>
      </c>
      <c r="AG9" s="1" t="e">
        <f>HLOOKUP('Sectoral Slopes'!AG$1,'IAI 1.5'!$B$34:$G$41,2,FALSE)</f>
        <v>#N/A</v>
      </c>
      <c r="AH9" s="1" t="e">
        <f>HLOOKUP('Sectoral Slopes'!AH$1,'IAI 1.5'!$B$34:$G$41,2,FALSE)</f>
        <v>#N/A</v>
      </c>
      <c r="AI9" s="1" t="e">
        <f>HLOOKUP('Sectoral Slopes'!AI$1,'IAI 1.5'!$B$34:$G$41,2,FALSE)</f>
        <v>#N/A</v>
      </c>
      <c r="AJ9" s="1" t="e">
        <f>HLOOKUP('Sectoral Slopes'!AJ$1,'IAI 1.5'!$B$34:$G$41,2,FALSE)</f>
        <v>#N/A</v>
      </c>
      <c r="AK9" s="1">
        <f>HLOOKUP('Sectoral Slopes'!AK$1,'IAI 1.5'!$B$34:$G$41,2,FALSE)</f>
        <v>67.8747558060466</v>
      </c>
    </row>
    <row r="10" spans="1:37">
      <c r="A10">
        <f t="shared" si="0"/>
        <v>10</v>
      </c>
      <c r="B10" t="s">
        <v>113</v>
      </c>
      <c r="C10" s="117">
        <f t="shared" ref="C10:D10" si="4">D10</f>
        <v>33.1678037090109</v>
      </c>
      <c r="D10" s="117">
        <f t="shared" si="4"/>
        <v>33.1678037090109</v>
      </c>
      <c r="E10" s="1">
        <f>HLOOKUP('Sectoral Slopes'!E$1,'IAI 1.5'!$B$34:$G$41,6,FALSE)</f>
        <v>33.1678037090109</v>
      </c>
      <c r="F10" s="1" t="e">
        <f>HLOOKUP('Sectoral Slopes'!F$1,'IAI 1.5'!$B$34:$G$41,6,FALSE)</f>
        <v>#N/A</v>
      </c>
      <c r="G10" s="1" t="e">
        <f>HLOOKUP('Sectoral Slopes'!G$1,'IAI 1.5'!$B$34:$G$41,6,FALSE)</f>
        <v>#N/A</v>
      </c>
      <c r="H10" s="1" t="e">
        <f>HLOOKUP('Sectoral Slopes'!H$1,'IAI 1.5'!$B$34:$G$41,6,FALSE)</f>
        <v>#N/A</v>
      </c>
      <c r="I10" s="1" t="e">
        <f>HLOOKUP('Sectoral Slopes'!I$1,'IAI 1.5'!$B$34:$G$41,6,FALSE)</f>
        <v>#N/A</v>
      </c>
      <c r="J10" s="1" t="e">
        <f>HLOOKUP('Sectoral Slopes'!J$1,'IAI 1.5'!$B$34:$G$41,6,FALSE)</f>
        <v>#N/A</v>
      </c>
      <c r="K10" s="1" t="e">
        <f>HLOOKUP('Sectoral Slopes'!K$1,'IAI 1.5'!$B$34:$G$41,6,FALSE)</f>
        <v>#N/A</v>
      </c>
      <c r="L10" s="1" t="e">
        <f>HLOOKUP('Sectoral Slopes'!L$1,'IAI 1.5'!$B$34:$G$41,6,FALSE)</f>
        <v>#N/A</v>
      </c>
      <c r="M10" s="1" t="e">
        <f>HLOOKUP('Sectoral Slopes'!M$1,'IAI 1.5'!$B$34:$G$41,6,FALSE)</f>
        <v>#N/A</v>
      </c>
      <c r="N10" s="1" t="e">
        <f>HLOOKUP('Sectoral Slopes'!N$1,'IAI 1.5'!$B$34:$G$41,6,FALSE)</f>
        <v>#N/A</v>
      </c>
      <c r="O10" s="1" t="e">
        <f>HLOOKUP('Sectoral Slopes'!O$1,'IAI 1.5'!$B$34:$G$41,6,FALSE)</f>
        <v>#N/A</v>
      </c>
      <c r="P10" s="1" t="e">
        <f>HLOOKUP('Sectoral Slopes'!P$1,'IAI 1.5'!$B$34:$G$41,6,FALSE)</f>
        <v>#N/A</v>
      </c>
      <c r="Q10" s="1">
        <f>HLOOKUP('Sectoral Slopes'!Q$1,'IAI 1.5'!$B$34:$G$41,6,FALSE)</f>
        <v>35.5356459232274</v>
      </c>
      <c r="R10" s="1" t="e">
        <f>HLOOKUP('Sectoral Slopes'!R$1,'IAI 1.5'!$B$34:$G$41,6,FALSE)</f>
        <v>#N/A</v>
      </c>
      <c r="S10" s="1" t="e">
        <f>HLOOKUP('Sectoral Slopes'!S$1,'IAI 1.5'!$B$34:$G$41,6,FALSE)</f>
        <v>#N/A</v>
      </c>
      <c r="T10" s="1" t="e">
        <f>HLOOKUP('Sectoral Slopes'!T$1,'IAI 1.5'!$B$34:$G$41,6,FALSE)</f>
        <v>#N/A</v>
      </c>
      <c r="U10" s="1" t="e">
        <f>HLOOKUP('Sectoral Slopes'!U$1,'IAI 1.5'!$B$34:$G$41,6,FALSE)</f>
        <v>#N/A</v>
      </c>
      <c r="V10" s="1">
        <f>HLOOKUP('Sectoral Slopes'!V$1,'IAI 1.5'!$B$34:$G$41,6,FALSE)</f>
        <v>33.7201274722672</v>
      </c>
      <c r="W10" s="1" t="e">
        <f>HLOOKUP('Sectoral Slopes'!W$1,'IAI 1.5'!$B$34:$G$41,6,FALSE)</f>
        <v>#N/A</v>
      </c>
      <c r="X10" s="1" t="e">
        <f>HLOOKUP('Sectoral Slopes'!X$1,'IAI 1.5'!$B$34:$G$41,6,FALSE)</f>
        <v>#N/A</v>
      </c>
      <c r="Y10" s="1" t="e">
        <f>HLOOKUP('Sectoral Slopes'!Y$1,'IAI 1.5'!$B$34:$G$41,6,FALSE)</f>
        <v>#N/A</v>
      </c>
      <c r="Z10" s="1" t="e">
        <f>HLOOKUP('Sectoral Slopes'!Z$1,'IAI 1.5'!$B$34:$G$41,6,FALSE)</f>
        <v>#N/A</v>
      </c>
      <c r="AA10" s="1">
        <f>HLOOKUP('Sectoral Slopes'!AA$1,'IAI 1.5'!$B$34:$G$41,6,FALSE)</f>
        <v>32.4099044498903</v>
      </c>
      <c r="AB10" s="1" t="e">
        <f>HLOOKUP('Sectoral Slopes'!AB$1,'IAI 1.5'!$B$34:$G$41,6,FALSE)</f>
        <v>#N/A</v>
      </c>
      <c r="AC10" s="1" t="e">
        <f>HLOOKUP('Sectoral Slopes'!AC$1,'IAI 1.5'!$B$34:$G$41,6,FALSE)</f>
        <v>#N/A</v>
      </c>
      <c r="AD10" s="1" t="e">
        <f>HLOOKUP('Sectoral Slopes'!AD$1,'IAI 1.5'!$B$34:$G$41,6,FALSE)</f>
        <v>#N/A</v>
      </c>
      <c r="AE10" s="1" t="e">
        <f>HLOOKUP('Sectoral Slopes'!AE$1,'IAI 1.5'!$B$34:$G$41,6,FALSE)</f>
        <v>#N/A</v>
      </c>
      <c r="AF10" s="1">
        <f>HLOOKUP('Sectoral Slopes'!AF$1,'IAI 1.5'!$B$34:$G$41,6,FALSE)</f>
        <v>29.7107949595552</v>
      </c>
      <c r="AG10" s="1" t="e">
        <f>HLOOKUP('Sectoral Slopes'!AG$1,'IAI 1.5'!$B$34:$G$41,6,FALSE)</f>
        <v>#N/A</v>
      </c>
      <c r="AH10" s="1" t="e">
        <f>HLOOKUP('Sectoral Slopes'!AH$1,'IAI 1.5'!$B$34:$G$41,6,FALSE)</f>
        <v>#N/A</v>
      </c>
      <c r="AI10" s="1" t="e">
        <f>HLOOKUP('Sectoral Slopes'!AI$1,'IAI 1.5'!$B$34:$G$41,6,FALSE)</f>
        <v>#N/A</v>
      </c>
      <c r="AJ10" s="1" t="e">
        <f>HLOOKUP('Sectoral Slopes'!AJ$1,'IAI 1.5'!$B$34:$G$41,6,FALSE)</f>
        <v>#N/A</v>
      </c>
      <c r="AK10" s="1">
        <f>HLOOKUP('Sectoral Slopes'!AK$1,'IAI 1.5'!$B$34:$G$41,6,FALSE)</f>
        <v>26.7156891187139</v>
      </c>
    </row>
    <row r="11" spans="1:37">
      <c r="A11">
        <f t="shared" si="0"/>
        <v>11</v>
      </c>
      <c r="B11" t="s">
        <v>114</v>
      </c>
      <c r="C11" s="117">
        <f t="shared" ref="C11:D11" si="5">D11</f>
        <v>12.6805481309251</v>
      </c>
      <c r="D11" s="117">
        <f t="shared" si="5"/>
        <v>12.6805481309251</v>
      </c>
      <c r="E11" s="1">
        <f>HLOOKUP('Sectoral Slopes'!E$1,'IAI 1.5'!$B$34:$G$41,4,FALSE)</f>
        <v>12.6805481309251</v>
      </c>
      <c r="F11" s="1" t="e">
        <f>HLOOKUP('Sectoral Slopes'!F$1,'IAI 1.5'!$B$34:$G$41,4,FALSE)</f>
        <v>#N/A</v>
      </c>
      <c r="G11" s="1" t="e">
        <f>HLOOKUP('Sectoral Slopes'!G$1,'IAI 1.5'!$B$34:$G$41,4,FALSE)</f>
        <v>#N/A</v>
      </c>
      <c r="H11" s="1" t="e">
        <f>HLOOKUP('Sectoral Slopes'!H$1,'IAI 1.5'!$B$34:$G$41,4,FALSE)</f>
        <v>#N/A</v>
      </c>
      <c r="I11" s="1" t="e">
        <f>HLOOKUP('Sectoral Slopes'!I$1,'IAI 1.5'!$B$34:$G$41,4,FALSE)</f>
        <v>#N/A</v>
      </c>
      <c r="J11" s="1" t="e">
        <f>HLOOKUP('Sectoral Slopes'!J$1,'IAI 1.5'!$B$34:$G$41,4,FALSE)</f>
        <v>#N/A</v>
      </c>
      <c r="K11" s="1" t="e">
        <f>HLOOKUP('Sectoral Slopes'!K$1,'IAI 1.5'!$B$34:$G$41,4,FALSE)</f>
        <v>#N/A</v>
      </c>
      <c r="L11" s="1" t="e">
        <f>HLOOKUP('Sectoral Slopes'!L$1,'IAI 1.5'!$B$34:$G$41,4,FALSE)</f>
        <v>#N/A</v>
      </c>
      <c r="M11" s="1" t="e">
        <f>HLOOKUP('Sectoral Slopes'!M$1,'IAI 1.5'!$B$34:$G$41,4,FALSE)</f>
        <v>#N/A</v>
      </c>
      <c r="N11" s="1" t="e">
        <f>HLOOKUP('Sectoral Slopes'!N$1,'IAI 1.5'!$B$34:$G$41,4,FALSE)</f>
        <v>#N/A</v>
      </c>
      <c r="O11" s="1" t="e">
        <f>HLOOKUP('Sectoral Slopes'!O$1,'IAI 1.5'!$B$34:$G$41,4,FALSE)</f>
        <v>#N/A</v>
      </c>
      <c r="P11" s="1" t="e">
        <f>HLOOKUP('Sectoral Slopes'!P$1,'IAI 1.5'!$B$34:$G$41,4,FALSE)</f>
        <v>#N/A</v>
      </c>
      <c r="Q11" s="1">
        <f>HLOOKUP('Sectoral Slopes'!Q$1,'IAI 1.5'!$B$34:$G$41,4,FALSE)</f>
        <v>15.741106024424</v>
      </c>
      <c r="R11" s="1" t="e">
        <f>HLOOKUP('Sectoral Slopes'!R$1,'IAI 1.5'!$B$34:$G$41,4,FALSE)</f>
        <v>#N/A</v>
      </c>
      <c r="S11" s="1" t="e">
        <f>HLOOKUP('Sectoral Slopes'!S$1,'IAI 1.5'!$B$34:$G$41,4,FALSE)</f>
        <v>#N/A</v>
      </c>
      <c r="T11" s="1" t="e">
        <f>HLOOKUP('Sectoral Slopes'!T$1,'IAI 1.5'!$B$34:$G$41,4,FALSE)</f>
        <v>#N/A</v>
      </c>
      <c r="U11" s="1" t="e">
        <f>HLOOKUP('Sectoral Slopes'!U$1,'IAI 1.5'!$B$34:$G$41,4,FALSE)</f>
        <v>#N/A</v>
      </c>
      <c r="V11" s="1">
        <f>HLOOKUP('Sectoral Slopes'!V$1,'IAI 1.5'!$B$34:$G$41,4,FALSE)</f>
        <v>14.7541485080717</v>
      </c>
      <c r="W11" s="1" t="e">
        <f>HLOOKUP('Sectoral Slopes'!W$1,'IAI 1.5'!$B$34:$G$41,4,FALSE)</f>
        <v>#N/A</v>
      </c>
      <c r="X11" s="1" t="e">
        <f>HLOOKUP('Sectoral Slopes'!X$1,'IAI 1.5'!$B$34:$G$41,4,FALSE)</f>
        <v>#N/A</v>
      </c>
      <c r="Y11" s="1" t="e">
        <f>HLOOKUP('Sectoral Slopes'!Y$1,'IAI 1.5'!$B$34:$G$41,4,FALSE)</f>
        <v>#N/A</v>
      </c>
      <c r="Z11" s="1" t="e">
        <f>HLOOKUP('Sectoral Slopes'!Z$1,'IAI 1.5'!$B$34:$G$41,4,FALSE)</f>
        <v>#N/A</v>
      </c>
      <c r="AA11" s="1">
        <f>HLOOKUP('Sectoral Slopes'!AA$1,'IAI 1.5'!$B$34:$G$41,4,FALSE)</f>
        <v>14.5811378509501</v>
      </c>
      <c r="AB11" s="1" t="e">
        <f>HLOOKUP('Sectoral Slopes'!AB$1,'IAI 1.5'!$B$34:$G$41,4,FALSE)</f>
        <v>#N/A</v>
      </c>
      <c r="AC11" s="1" t="e">
        <f>HLOOKUP('Sectoral Slopes'!AC$1,'IAI 1.5'!$B$34:$G$41,4,FALSE)</f>
        <v>#N/A</v>
      </c>
      <c r="AD11" s="1" t="e">
        <f>HLOOKUP('Sectoral Slopes'!AD$1,'IAI 1.5'!$B$34:$G$41,4,FALSE)</f>
        <v>#N/A</v>
      </c>
      <c r="AE11" s="1" t="e">
        <f>HLOOKUP('Sectoral Slopes'!AE$1,'IAI 1.5'!$B$34:$G$41,4,FALSE)</f>
        <v>#N/A</v>
      </c>
      <c r="AF11" s="1">
        <f>HLOOKUP('Sectoral Slopes'!AF$1,'IAI 1.5'!$B$34:$G$41,4,FALSE)</f>
        <v>13.706448629658</v>
      </c>
      <c r="AG11" s="1" t="e">
        <f>HLOOKUP('Sectoral Slopes'!AG$1,'IAI 1.5'!$B$34:$G$41,4,FALSE)</f>
        <v>#N/A</v>
      </c>
      <c r="AH11" s="1" t="e">
        <f>HLOOKUP('Sectoral Slopes'!AH$1,'IAI 1.5'!$B$34:$G$41,4,FALSE)</f>
        <v>#N/A</v>
      </c>
      <c r="AI11" s="1" t="e">
        <f>HLOOKUP('Sectoral Slopes'!AI$1,'IAI 1.5'!$B$34:$G$41,4,FALSE)</f>
        <v>#N/A</v>
      </c>
      <c r="AJ11" s="1" t="e">
        <f>HLOOKUP('Sectoral Slopes'!AJ$1,'IAI 1.5'!$B$34:$G$41,4,FALSE)</f>
        <v>#N/A</v>
      </c>
      <c r="AK11" s="1">
        <f>HLOOKUP('Sectoral Slopes'!AK$1,'IAI 1.5'!$B$34:$G$41,4,FALSE)</f>
        <v>12.7566963738539</v>
      </c>
    </row>
    <row r="12" spans="1:37">
      <c r="A12">
        <f t="shared" si="0"/>
        <v>12</v>
      </c>
      <c r="B12" t="s">
        <v>115</v>
      </c>
      <c r="C12" s="117">
        <f t="shared" ref="C12:D13" si="6">D12</f>
        <v>19.0740548547319</v>
      </c>
      <c r="D12" s="117">
        <f t="shared" si="6"/>
        <v>19.0740548547319</v>
      </c>
      <c r="E12" s="1">
        <f>HLOOKUP('Sectoral Slopes'!E$1,'IAI 1.5'!$B$34:$G$41,5,FALSE)</f>
        <v>19.0740548547319</v>
      </c>
      <c r="F12" s="1" t="e">
        <f>HLOOKUP('Sectoral Slopes'!F$1,'IAI 1.5'!$B$34:$G$41,5,FALSE)</f>
        <v>#N/A</v>
      </c>
      <c r="G12" s="1" t="e">
        <f>HLOOKUP('Sectoral Slopes'!G$1,'IAI 1.5'!$B$34:$G$41,5,FALSE)</f>
        <v>#N/A</v>
      </c>
      <c r="H12" s="1" t="e">
        <f>HLOOKUP('Sectoral Slopes'!H$1,'IAI 1.5'!$B$34:$G$41,5,FALSE)</f>
        <v>#N/A</v>
      </c>
      <c r="I12" s="1" t="e">
        <f>HLOOKUP('Sectoral Slopes'!I$1,'IAI 1.5'!$B$34:$G$41,5,FALSE)</f>
        <v>#N/A</v>
      </c>
      <c r="J12" s="1" t="e">
        <f>HLOOKUP('Sectoral Slopes'!J$1,'IAI 1.5'!$B$34:$G$41,5,FALSE)</f>
        <v>#N/A</v>
      </c>
      <c r="K12" s="1" t="e">
        <f>HLOOKUP('Sectoral Slopes'!K$1,'IAI 1.5'!$B$34:$G$41,5,FALSE)</f>
        <v>#N/A</v>
      </c>
      <c r="L12" s="1" t="e">
        <f>HLOOKUP('Sectoral Slopes'!L$1,'IAI 1.5'!$B$34:$G$41,5,FALSE)</f>
        <v>#N/A</v>
      </c>
      <c r="M12" s="1" t="e">
        <f>HLOOKUP('Sectoral Slopes'!M$1,'IAI 1.5'!$B$34:$G$41,5,FALSE)</f>
        <v>#N/A</v>
      </c>
      <c r="N12" s="1" t="e">
        <f>HLOOKUP('Sectoral Slopes'!N$1,'IAI 1.5'!$B$34:$G$41,5,FALSE)</f>
        <v>#N/A</v>
      </c>
      <c r="O12" s="1" t="e">
        <f>HLOOKUP('Sectoral Slopes'!O$1,'IAI 1.5'!$B$34:$G$41,5,FALSE)</f>
        <v>#N/A</v>
      </c>
      <c r="P12" s="1" t="e">
        <f>HLOOKUP('Sectoral Slopes'!P$1,'IAI 1.5'!$B$34:$G$41,5,FALSE)</f>
        <v>#N/A</v>
      </c>
      <c r="Q12" s="1">
        <f>HLOOKUP('Sectoral Slopes'!Q$1,'IAI 1.5'!$B$34:$G$41,5,FALSE)</f>
        <v>33.08196756095</v>
      </c>
      <c r="R12" s="1" t="e">
        <f>HLOOKUP('Sectoral Slopes'!R$1,'IAI 1.5'!$B$34:$G$41,5,FALSE)</f>
        <v>#N/A</v>
      </c>
      <c r="S12" s="1" t="e">
        <f>HLOOKUP('Sectoral Slopes'!S$1,'IAI 1.5'!$B$34:$G$41,5,FALSE)</f>
        <v>#N/A</v>
      </c>
      <c r="T12" s="1" t="e">
        <f>HLOOKUP('Sectoral Slopes'!T$1,'IAI 1.5'!$B$34:$G$41,5,FALSE)</f>
        <v>#N/A</v>
      </c>
      <c r="U12" s="1" t="e">
        <f>HLOOKUP('Sectoral Slopes'!U$1,'IAI 1.5'!$B$34:$G$41,5,FALSE)</f>
        <v>#N/A</v>
      </c>
      <c r="V12" s="1">
        <f>HLOOKUP('Sectoral Slopes'!V$1,'IAI 1.5'!$B$34:$G$41,5,FALSE)</f>
        <v>42.4762188598275</v>
      </c>
      <c r="W12" s="1" t="e">
        <f>HLOOKUP('Sectoral Slopes'!W$1,'IAI 1.5'!$B$34:$G$41,5,FALSE)</f>
        <v>#N/A</v>
      </c>
      <c r="X12" s="1" t="e">
        <f>HLOOKUP('Sectoral Slopes'!X$1,'IAI 1.5'!$B$34:$G$41,5,FALSE)</f>
        <v>#N/A</v>
      </c>
      <c r="Y12" s="1" t="e">
        <f>HLOOKUP('Sectoral Slopes'!Y$1,'IAI 1.5'!$B$34:$G$41,5,FALSE)</f>
        <v>#N/A</v>
      </c>
      <c r="Z12" s="1" t="e">
        <f>HLOOKUP('Sectoral Slopes'!Z$1,'IAI 1.5'!$B$34:$G$41,5,FALSE)</f>
        <v>#N/A</v>
      </c>
      <c r="AA12" s="1">
        <f>HLOOKUP('Sectoral Slopes'!AA$1,'IAI 1.5'!$B$34:$G$41,5,FALSE)</f>
        <v>51.5135046113275</v>
      </c>
      <c r="AB12" s="1" t="e">
        <f>HLOOKUP('Sectoral Slopes'!AB$1,'IAI 1.5'!$B$34:$G$41,5,FALSE)</f>
        <v>#N/A</v>
      </c>
      <c r="AC12" s="1" t="e">
        <f>HLOOKUP('Sectoral Slopes'!AC$1,'IAI 1.5'!$B$34:$G$41,5,FALSE)</f>
        <v>#N/A</v>
      </c>
      <c r="AD12" s="1" t="e">
        <f>HLOOKUP('Sectoral Slopes'!AD$1,'IAI 1.5'!$B$34:$G$41,5,FALSE)</f>
        <v>#N/A</v>
      </c>
      <c r="AE12" s="1" t="e">
        <f>HLOOKUP('Sectoral Slopes'!AE$1,'IAI 1.5'!$B$34:$G$41,5,FALSE)</f>
        <v>#N/A</v>
      </c>
      <c r="AF12" s="1">
        <f>HLOOKUP('Sectoral Slopes'!AF$1,'IAI 1.5'!$B$34:$G$41,5,FALSE)</f>
        <v>60.0807345474713</v>
      </c>
      <c r="AG12" s="1" t="e">
        <f>HLOOKUP('Sectoral Slopes'!AG$1,'IAI 1.5'!$B$34:$G$41,5,FALSE)</f>
        <v>#N/A</v>
      </c>
      <c r="AH12" s="1" t="e">
        <f>HLOOKUP('Sectoral Slopes'!AH$1,'IAI 1.5'!$B$34:$G$41,5,FALSE)</f>
        <v>#N/A</v>
      </c>
      <c r="AI12" s="1" t="e">
        <f>HLOOKUP('Sectoral Slopes'!AI$1,'IAI 1.5'!$B$34:$G$41,5,FALSE)</f>
        <v>#N/A</v>
      </c>
      <c r="AJ12" s="1" t="e">
        <f>HLOOKUP('Sectoral Slopes'!AJ$1,'IAI 1.5'!$B$34:$G$41,5,FALSE)</f>
        <v>#N/A</v>
      </c>
      <c r="AK12" s="1">
        <f>HLOOKUP('Sectoral Slopes'!AK$1,'IAI 1.5'!$B$34:$G$41,5,FALSE)</f>
        <v>68.093061913812</v>
      </c>
    </row>
    <row r="13" spans="1:37">
      <c r="A13">
        <f t="shared" si="0"/>
        <v>13</v>
      </c>
      <c r="B13" s="118" t="s">
        <v>116</v>
      </c>
      <c r="C13" s="119">
        <f t="shared" si="6"/>
        <v>129.258239694668</v>
      </c>
      <c r="D13" s="119">
        <f>E13</f>
        <v>129.258239694668</v>
      </c>
      <c r="E13" s="120">
        <f t="shared" ref="E13:AK13" si="7">SUM(E10:E12,E9)</f>
        <v>129.258239694668</v>
      </c>
      <c r="F13" s="120" t="e">
        <f t="shared" si="7"/>
        <v>#N/A</v>
      </c>
      <c r="G13" s="120" t="e">
        <f t="shared" si="7"/>
        <v>#N/A</v>
      </c>
      <c r="H13" s="120" t="e">
        <f t="shared" si="7"/>
        <v>#N/A</v>
      </c>
      <c r="I13" s="120" t="e">
        <f t="shared" si="7"/>
        <v>#N/A</v>
      </c>
      <c r="J13" s="120" t="e">
        <f t="shared" si="7"/>
        <v>#N/A</v>
      </c>
      <c r="K13" s="120" t="e">
        <f t="shared" si="7"/>
        <v>#N/A</v>
      </c>
      <c r="L13" s="120" t="e">
        <f t="shared" si="7"/>
        <v>#N/A</v>
      </c>
      <c r="M13" s="120" t="e">
        <f t="shared" si="7"/>
        <v>#N/A</v>
      </c>
      <c r="N13" s="120" t="e">
        <f t="shared" si="7"/>
        <v>#N/A</v>
      </c>
      <c r="O13" s="120" t="e">
        <f t="shared" si="7"/>
        <v>#N/A</v>
      </c>
      <c r="P13" s="120" t="e">
        <f t="shared" si="7"/>
        <v>#N/A</v>
      </c>
      <c r="Q13" s="120">
        <f t="shared" si="7"/>
        <v>149.985097293044</v>
      </c>
      <c r="R13" s="120" t="e">
        <f t="shared" si="7"/>
        <v>#N/A</v>
      </c>
      <c r="S13" s="120" t="e">
        <f t="shared" si="7"/>
        <v>#N/A</v>
      </c>
      <c r="T13" s="120" t="e">
        <f t="shared" si="7"/>
        <v>#N/A</v>
      </c>
      <c r="U13" s="120" t="e">
        <f t="shared" si="7"/>
        <v>#N/A</v>
      </c>
      <c r="V13" s="120">
        <f t="shared" si="7"/>
        <v>159.987181126973</v>
      </c>
      <c r="W13" s="120" t="e">
        <f t="shared" si="7"/>
        <v>#N/A</v>
      </c>
      <c r="X13" s="120" t="e">
        <f t="shared" si="7"/>
        <v>#N/A</v>
      </c>
      <c r="Y13" s="120" t="e">
        <f t="shared" si="7"/>
        <v>#N/A</v>
      </c>
      <c r="Z13" s="120" t="e">
        <f t="shared" si="7"/>
        <v>#N/A</v>
      </c>
      <c r="AA13" s="120">
        <f t="shared" si="7"/>
        <v>169.56937049451</v>
      </c>
      <c r="AB13" s="120" t="e">
        <f t="shared" si="7"/>
        <v>#N/A</v>
      </c>
      <c r="AC13" s="120" t="e">
        <f t="shared" si="7"/>
        <v>#N/A</v>
      </c>
      <c r="AD13" s="120" t="e">
        <f t="shared" si="7"/>
        <v>#N/A</v>
      </c>
      <c r="AE13" s="120" t="e">
        <f t="shared" si="7"/>
        <v>#N/A</v>
      </c>
      <c r="AF13" s="120">
        <f t="shared" si="7"/>
        <v>173.476487833153</v>
      </c>
      <c r="AG13" s="120" t="e">
        <f t="shared" si="7"/>
        <v>#N/A</v>
      </c>
      <c r="AH13" s="120" t="e">
        <f t="shared" si="7"/>
        <v>#N/A</v>
      </c>
      <c r="AI13" s="120" t="e">
        <f t="shared" si="7"/>
        <v>#N/A</v>
      </c>
      <c r="AJ13" s="120" t="e">
        <f t="shared" si="7"/>
        <v>#N/A</v>
      </c>
      <c r="AK13" s="120">
        <f t="shared" si="7"/>
        <v>175.440203212426</v>
      </c>
    </row>
    <row r="14" spans="1:37">
      <c r="A14">
        <f t="shared" si="0"/>
        <v>14</v>
      </c>
      <c r="C14"/>
      <c r="D1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>
      <c r="A15">
        <f t="shared" si="0"/>
        <v>15</v>
      </c>
      <c r="B15" t="s">
        <v>117</v>
      </c>
      <c r="C15" s="117">
        <f>D15</f>
        <v>95.1112611361222</v>
      </c>
      <c r="D15" s="117">
        <f>E15</f>
        <v>95.1112611361222</v>
      </c>
      <c r="E15" s="1">
        <f>HLOOKUP('Sectoral Slopes'!E$1,'IAI 1.5'!$B$34:$G$41,7,FALSE)</f>
        <v>95.1112611361222</v>
      </c>
      <c r="F15" s="1" t="e">
        <f>HLOOKUP('Sectoral Slopes'!F$1,'IAI 1.5'!$B$34:$G$41,7,FALSE)</f>
        <v>#N/A</v>
      </c>
      <c r="G15" s="1" t="e">
        <f>HLOOKUP('Sectoral Slopes'!G$1,'IAI 1.5'!$B$34:$G$41,7,FALSE)</f>
        <v>#N/A</v>
      </c>
      <c r="H15" s="1" t="e">
        <f>HLOOKUP('Sectoral Slopes'!H$1,'IAI 1.5'!$B$34:$G$41,7,FALSE)</f>
        <v>#N/A</v>
      </c>
      <c r="I15" s="1" t="e">
        <f>HLOOKUP('Sectoral Slopes'!I$1,'IAI 1.5'!$B$34:$G$41,7,FALSE)</f>
        <v>#N/A</v>
      </c>
      <c r="J15" s="1" t="e">
        <f>HLOOKUP('Sectoral Slopes'!J$1,'IAI 1.5'!$B$34:$G$41,7,FALSE)</f>
        <v>#N/A</v>
      </c>
      <c r="K15" s="1" t="e">
        <f>HLOOKUP('Sectoral Slopes'!K$1,'IAI 1.5'!$B$34:$G$41,7,FALSE)</f>
        <v>#N/A</v>
      </c>
      <c r="L15" s="1" t="e">
        <f>HLOOKUP('Sectoral Slopes'!L$1,'IAI 1.5'!$B$34:$G$41,7,FALSE)</f>
        <v>#N/A</v>
      </c>
      <c r="M15" s="1" t="e">
        <f>HLOOKUP('Sectoral Slopes'!M$1,'IAI 1.5'!$B$34:$G$41,7,FALSE)</f>
        <v>#N/A</v>
      </c>
      <c r="N15" s="1" t="e">
        <f>HLOOKUP('Sectoral Slopes'!N$1,'IAI 1.5'!$B$34:$G$41,7,FALSE)</f>
        <v>#N/A</v>
      </c>
      <c r="O15" s="1" t="e">
        <f>HLOOKUP('Sectoral Slopes'!O$1,'IAI 1.5'!$B$34:$G$41,7,FALSE)</f>
        <v>#N/A</v>
      </c>
      <c r="P15" s="1" t="e">
        <f>HLOOKUP('Sectoral Slopes'!P$1,'IAI 1.5'!$B$34:$G$41,7,FALSE)</f>
        <v>#N/A</v>
      </c>
      <c r="Q15" s="1">
        <f>HLOOKUP('Sectoral Slopes'!Q$1,'IAI 1.5'!$B$34:$G$41,7,FALSE)</f>
        <v>118.153043814636</v>
      </c>
      <c r="R15" s="1" t="e">
        <f>HLOOKUP('Sectoral Slopes'!R$1,'IAI 1.5'!$B$34:$G$41,7,FALSE)</f>
        <v>#N/A</v>
      </c>
      <c r="S15" s="1" t="e">
        <f>HLOOKUP('Sectoral Slopes'!S$1,'IAI 1.5'!$B$34:$G$41,7,FALSE)</f>
        <v>#N/A</v>
      </c>
      <c r="T15" s="1" t="e">
        <f>HLOOKUP('Sectoral Slopes'!T$1,'IAI 1.5'!$B$34:$G$41,7,FALSE)</f>
        <v>#N/A</v>
      </c>
      <c r="U15" s="1" t="e">
        <f>HLOOKUP('Sectoral Slopes'!U$1,'IAI 1.5'!$B$34:$G$41,7,FALSE)</f>
        <v>#N/A</v>
      </c>
      <c r="V15" s="1">
        <f>HLOOKUP('Sectoral Slopes'!V$1,'IAI 1.5'!$B$34:$G$41,7,FALSE)</f>
        <v>126.115998176743</v>
      </c>
      <c r="W15" s="1" t="e">
        <f>HLOOKUP('Sectoral Slopes'!W$1,'IAI 1.5'!$B$34:$G$41,7,FALSE)</f>
        <v>#N/A</v>
      </c>
      <c r="X15" s="1" t="e">
        <f>HLOOKUP('Sectoral Slopes'!X$1,'IAI 1.5'!$B$34:$G$41,7,FALSE)</f>
        <v>#N/A</v>
      </c>
      <c r="Y15" s="1" t="e">
        <f>HLOOKUP('Sectoral Slopes'!Y$1,'IAI 1.5'!$B$34:$G$41,7,FALSE)</f>
        <v>#N/A</v>
      </c>
      <c r="Z15" s="1" t="e">
        <f>HLOOKUP('Sectoral Slopes'!Z$1,'IAI 1.5'!$B$34:$G$41,7,FALSE)</f>
        <v>#N/A</v>
      </c>
      <c r="AA15" s="1">
        <f>HLOOKUP('Sectoral Slopes'!AA$1,'IAI 1.5'!$B$34:$G$41,7,FALSE)</f>
        <v>137.519709450372</v>
      </c>
      <c r="AB15" s="1" t="e">
        <f>HLOOKUP('Sectoral Slopes'!AB$1,'IAI 1.5'!$B$34:$G$41,7,FALSE)</f>
        <v>#N/A</v>
      </c>
      <c r="AC15" s="1" t="e">
        <f>HLOOKUP('Sectoral Slopes'!AC$1,'IAI 1.5'!$B$34:$G$41,7,FALSE)</f>
        <v>#N/A</v>
      </c>
      <c r="AD15" s="1" t="e">
        <f>HLOOKUP('Sectoral Slopes'!AD$1,'IAI 1.5'!$B$34:$G$41,7,FALSE)</f>
        <v>#N/A</v>
      </c>
      <c r="AE15" s="1" t="e">
        <f>HLOOKUP('Sectoral Slopes'!AE$1,'IAI 1.5'!$B$34:$G$41,7,FALSE)</f>
        <v>#N/A</v>
      </c>
      <c r="AF15" s="1">
        <f>HLOOKUP('Sectoral Slopes'!AF$1,'IAI 1.5'!$B$34:$G$41,7,FALSE)</f>
        <v>144.403907737449</v>
      </c>
      <c r="AG15" s="1" t="e">
        <f>HLOOKUP('Sectoral Slopes'!AG$1,'IAI 1.5'!$B$34:$G$41,7,FALSE)</f>
        <v>#N/A</v>
      </c>
      <c r="AH15" s="1" t="e">
        <f>HLOOKUP('Sectoral Slopes'!AH$1,'IAI 1.5'!$B$34:$G$41,7,FALSE)</f>
        <v>#N/A</v>
      </c>
      <c r="AI15" s="1" t="e">
        <f>HLOOKUP('Sectoral Slopes'!AI$1,'IAI 1.5'!$B$34:$G$41,7,FALSE)</f>
        <v>#N/A</v>
      </c>
      <c r="AJ15" s="1" t="e">
        <f>HLOOKUP('Sectoral Slopes'!AJ$1,'IAI 1.5'!$B$34:$G$41,7,FALSE)</f>
        <v>#N/A</v>
      </c>
      <c r="AK15" s="1">
        <f>HLOOKUP('Sectoral Slopes'!AK$1,'IAI 1.5'!$B$34:$G$41,7,FALSE)</f>
        <v>149.513239323802</v>
      </c>
    </row>
    <row r="16" spans="1:4">
      <c r="A16">
        <f t="shared" si="0"/>
        <v>16</v>
      </c>
      <c r="C16"/>
      <c r="D16"/>
    </row>
    <row r="17" spans="1:37">
      <c r="A17">
        <f t="shared" si="0"/>
        <v>17</v>
      </c>
      <c r="B17" s="121" t="s">
        <v>118</v>
      </c>
      <c r="C17" s="122">
        <f t="shared" ref="C17:D17" si="8">D17</f>
        <v>10.6898938361111</v>
      </c>
      <c r="D17" s="122">
        <f t="shared" si="8"/>
        <v>10.6898938361111</v>
      </c>
      <c r="E17" s="4">
        <v>10.6898938361111</v>
      </c>
      <c r="F17" s="4">
        <v>10.4029710873508</v>
      </c>
      <c r="G17" s="4">
        <v>9.70931860853106</v>
      </c>
      <c r="H17" s="4">
        <v>9.91023047214493</v>
      </c>
      <c r="I17" s="4">
        <v>9.555753284042</v>
      </c>
      <c r="J17" s="4">
        <v>8.98692934439453</v>
      </c>
      <c r="K17" s="4">
        <v>8.68792004818036</v>
      </c>
      <c r="L17" s="4">
        <v>8.36850139210911</v>
      </c>
      <c r="M17" s="4">
        <v>8.14401359843703</v>
      </c>
      <c r="N17" s="4">
        <v>8.11926984679687</v>
      </c>
      <c r="O17" s="4">
        <v>7.7131872084755</v>
      </c>
      <c r="P17" s="4">
        <v>7.30439733459349</v>
      </c>
      <c r="Q17" s="4">
        <v>6.95278167949055</v>
      </c>
      <c r="R17" s="4">
        <v>5.6703101343909</v>
      </c>
      <c r="S17" s="4">
        <v>4.05851782936489</v>
      </c>
      <c r="T17" s="4">
        <v>3.61781471531621</v>
      </c>
      <c r="U17" s="4">
        <v>2.42041843356906</v>
      </c>
      <c r="V17" s="4">
        <v>1.60383641760474</v>
      </c>
      <c r="W17" s="4">
        <v>1.46274931362396</v>
      </c>
      <c r="X17" s="4">
        <v>1.25832695303967</v>
      </c>
      <c r="Y17" s="4">
        <v>1.10321399544997</v>
      </c>
      <c r="Z17" s="4">
        <v>0.955204316970583</v>
      </c>
      <c r="AA17" s="4">
        <v>0.991299044176466</v>
      </c>
      <c r="AB17" s="4">
        <v>0.960912029857158</v>
      </c>
      <c r="AC17" s="4">
        <v>0.942648824084369</v>
      </c>
      <c r="AD17" s="4">
        <v>0.815974874428514</v>
      </c>
      <c r="AE17" s="4">
        <v>0.794499385469056</v>
      </c>
      <c r="AF17" s="4">
        <v>0.769890990538606</v>
      </c>
      <c r="AG17" s="4">
        <v>0.728824061409053</v>
      </c>
      <c r="AH17" s="4">
        <v>0.710955116586777</v>
      </c>
      <c r="AI17" s="4">
        <v>0.69308617172282</v>
      </c>
      <c r="AJ17" s="4">
        <v>0.675217226885267</v>
      </c>
      <c r="AK17" s="4">
        <v>0.657348282961039</v>
      </c>
    </row>
    <row r="18" spans="1:37">
      <c r="A18">
        <f t="shared" si="0"/>
        <v>18</v>
      </c>
      <c r="B18" s="121" t="s">
        <v>119</v>
      </c>
      <c r="C18" s="122">
        <f t="shared" ref="C18:D18" si="9">D18</f>
        <v>4.84481860719707</v>
      </c>
      <c r="D18" s="122">
        <f t="shared" si="9"/>
        <v>4.84481860719707</v>
      </c>
      <c r="E18" s="4">
        <v>4.84481860719707</v>
      </c>
      <c r="F18" s="4">
        <v>4.84481860719707</v>
      </c>
      <c r="G18" s="4">
        <v>4.84481860719707</v>
      </c>
      <c r="H18" s="4">
        <v>4.74088105564824</v>
      </c>
      <c r="I18" s="4">
        <v>4.79427141120048</v>
      </c>
      <c r="J18" s="4">
        <v>4.78066367000183</v>
      </c>
      <c r="K18" s="4">
        <v>4.75249207684862</v>
      </c>
      <c r="L18" s="4">
        <v>4.73605263302972</v>
      </c>
      <c r="M18" s="4">
        <v>4.43001325114447</v>
      </c>
      <c r="N18" s="4">
        <v>4.39036749568958</v>
      </c>
      <c r="O18" s="4">
        <v>4.36174836769969</v>
      </c>
      <c r="P18" s="4">
        <v>4.31978865774274</v>
      </c>
      <c r="Q18" s="4">
        <v>4.1385250146623</v>
      </c>
      <c r="R18" s="4">
        <v>3.85972331140748</v>
      </c>
      <c r="S18" s="4">
        <v>3.36530843034141</v>
      </c>
      <c r="T18" s="4">
        <v>3.13433792305714</v>
      </c>
      <c r="U18" s="4">
        <v>2.8717048243038</v>
      </c>
      <c r="V18" s="4">
        <v>2.21691463338421</v>
      </c>
      <c r="W18" s="4">
        <v>2.14442660962277</v>
      </c>
      <c r="X18" s="4">
        <v>1.70442162757412</v>
      </c>
      <c r="Y18" s="4">
        <v>1.53252411105458</v>
      </c>
      <c r="Z18" s="4">
        <v>1.34038805904081</v>
      </c>
      <c r="AA18" s="4">
        <v>1.25114187611444</v>
      </c>
      <c r="AB18" s="4">
        <v>1.06949463573425</v>
      </c>
      <c r="AC18" s="4">
        <v>0.77814278786355</v>
      </c>
      <c r="AD18" s="4">
        <v>0.651232453804742</v>
      </c>
      <c r="AE18" s="4">
        <v>0.63076714776598</v>
      </c>
      <c r="AF18" s="4">
        <v>0.484336013719594</v>
      </c>
      <c r="AG18" s="4">
        <v>0.47769982547931</v>
      </c>
      <c r="AH18" s="4">
        <v>0.459794848565361</v>
      </c>
      <c r="AI18" s="4">
        <v>0.343610585964953</v>
      </c>
      <c r="AJ18" s="4">
        <v>0.285834138780572</v>
      </c>
      <c r="AK18" s="4">
        <v>0.267636408002995</v>
      </c>
    </row>
    <row r="19" spans="1:37">
      <c r="A19">
        <f t="shared" si="0"/>
        <v>19</v>
      </c>
      <c r="B19" t="s">
        <v>120</v>
      </c>
      <c r="C19" s="122">
        <f t="shared" ref="C19:D19" si="10">D19</f>
        <v>15.5347124433082</v>
      </c>
      <c r="D19" s="122">
        <f t="shared" si="10"/>
        <v>15.5347124433082</v>
      </c>
      <c r="E19" s="4">
        <f>SUM(E17:E18)</f>
        <v>15.5347124433082</v>
      </c>
      <c r="F19" s="4">
        <f t="shared" ref="F19:AK19" si="11">SUM(F17:F18)</f>
        <v>15.2477896945479</v>
      </c>
      <c r="G19" s="4">
        <f t="shared" si="11"/>
        <v>14.5541372157281</v>
      </c>
      <c r="H19" s="4">
        <f t="shared" si="11"/>
        <v>14.6511115277932</v>
      </c>
      <c r="I19" s="4">
        <f t="shared" si="11"/>
        <v>14.3500246952425</v>
      </c>
      <c r="J19" s="4">
        <f t="shared" si="11"/>
        <v>13.7675930143964</v>
      </c>
      <c r="K19" s="4">
        <f t="shared" si="11"/>
        <v>13.440412125029</v>
      </c>
      <c r="L19" s="4">
        <f t="shared" si="11"/>
        <v>13.1045540251388</v>
      </c>
      <c r="M19" s="4">
        <f t="shared" si="11"/>
        <v>12.5740268495815</v>
      </c>
      <c r="N19" s="4">
        <f t="shared" si="11"/>
        <v>12.5096373424865</v>
      </c>
      <c r="O19" s="4">
        <f t="shared" si="11"/>
        <v>12.0749355761752</v>
      </c>
      <c r="P19" s="4">
        <f t="shared" si="11"/>
        <v>11.6241859923362</v>
      </c>
      <c r="Q19" s="4">
        <f t="shared" si="11"/>
        <v>11.0913066941528</v>
      </c>
      <c r="R19" s="4">
        <f t="shared" si="11"/>
        <v>9.53003344579838</v>
      </c>
      <c r="S19" s="4">
        <f t="shared" si="11"/>
        <v>7.42382625970631</v>
      </c>
      <c r="T19" s="4">
        <f t="shared" si="11"/>
        <v>6.75215263837335</v>
      </c>
      <c r="U19" s="4">
        <f t="shared" si="11"/>
        <v>5.29212325787286</v>
      </c>
      <c r="V19" s="4">
        <f t="shared" si="11"/>
        <v>3.82075105098896</v>
      </c>
      <c r="W19" s="4">
        <f t="shared" si="11"/>
        <v>3.60717592324672</v>
      </c>
      <c r="X19" s="4">
        <f t="shared" si="11"/>
        <v>2.96274858061379</v>
      </c>
      <c r="Y19" s="4">
        <f t="shared" si="11"/>
        <v>2.63573810650455</v>
      </c>
      <c r="Z19" s="4">
        <f t="shared" si="11"/>
        <v>2.29559237601139</v>
      </c>
      <c r="AA19" s="4">
        <f t="shared" si="11"/>
        <v>2.24244092029091</v>
      </c>
      <c r="AB19" s="4">
        <f t="shared" si="11"/>
        <v>2.03040666559141</v>
      </c>
      <c r="AC19" s="4">
        <f t="shared" si="11"/>
        <v>1.72079161194792</v>
      </c>
      <c r="AD19" s="4">
        <f t="shared" si="11"/>
        <v>1.46720732823326</v>
      </c>
      <c r="AE19" s="4">
        <f t="shared" si="11"/>
        <v>1.42526653323504</v>
      </c>
      <c r="AF19" s="4">
        <f t="shared" si="11"/>
        <v>1.2542270042582</v>
      </c>
      <c r="AG19" s="4">
        <f t="shared" si="11"/>
        <v>1.20652388688836</v>
      </c>
      <c r="AH19" s="4">
        <f t="shared" si="11"/>
        <v>1.17074996515214</v>
      </c>
      <c r="AI19" s="4">
        <f t="shared" si="11"/>
        <v>1.03669675768777</v>
      </c>
      <c r="AJ19" s="4">
        <f t="shared" si="11"/>
        <v>0.961051365665839</v>
      </c>
      <c r="AK19" s="4">
        <f t="shared" si="11"/>
        <v>0.924984690964034</v>
      </c>
    </row>
    <row r="20" spans="1:37">
      <c r="A20">
        <f t="shared" si="0"/>
        <v>20</v>
      </c>
      <c r="B20" t="s">
        <v>121</v>
      </c>
      <c r="C20" s="122">
        <f t="shared" ref="C20:D20" si="12">D20</f>
        <v>8.019518751989</v>
      </c>
      <c r="D20" s="122">
        <f t="shared" si="12"/>
        <v>8.019518751989</v>
      </c>
      <c r="E20" s="4">
        <f>E4/E13</f>
        <v>8.019518751989</v>
      </c>
      <c r="F20" s="4">
        <f>E20-(E19-F19)*($E20-$Q20)/($E$19-$Q$19)</f>
        <v>7.82718884118299</v>
      </c>
      <c r="G20" s="4">
        <f t="shared" ref="G20:P20" si="13">F20-(F19-G19)*($E20-$Q20)/($E$19-$Q$19)</f>
        <v>7.36222006488972</v>
      </c>
      <c r="H20" s="4">
        <f t="shared" si="13"/>
        <v>7.42722383635967</v>
      </c>
      <c r="I20" s="4">
        <f t="shared" si="13"/>
        <v>7.2253994641217</v>
      </c>
      <c r="J20" s="4">
        <f t="shared" si="13"/>
        <v>6.83498415647625</v>
      </c>
      <c r="K20" s="4">
        <f t="shared" si="13"/>
        <v>6.61566842936383</v>
      </c>
      <c r="L20" s="4">
        <f t="shared" si="13"/>
        <v>6.39053619891348</v>
      </c>
      <c r="M20" s="4">
        <f t="shared" si="13"/>
        <v>6.03491349281585</v>
      </c>
      <c r="N20" s="4">
        <f t="shared" si="13"/>
        <v>5.99175195121645</v>
      </c>
      <c r="O20" s="4">
        <f t="shared" si="13"/>
        <v>5.70036288463635</v>
      </c>
      <c r="P20" s="4">
        <f t="shared" si="13"/>
        <v>5.39821665318497</v>
      </c>
      <c r="Q20" s="4">
        <f>Q4/Q13</f>
        <v>5.04101727344669</v>
      </c>
      <c r="R20" s="4">
        <f>Q20-(Q19-R19)*($Q20-$V20)/($Q$19-$V$19)</f>
        <v>4.34677869179414</v>
      </c>
      <c r="S20" s="4">
        <f>R20-(R19-S19)*($Q20-$V20)/($Q$19-$V$19)</f>
        <v>3.41022880145298</v>
      </c>
      <c r="T20" s="4">
        <f>S20-(S19-T19)*($Q20-$V20)/($Q$19-$V$19)</f>
        <v>3.11156119621534</v>
      </c>
      <c r="U20" s="4">
        <f>T20-(T19-U19)*($Q20-$V20)/($Q$19-$V$19)</f>
        <v>2.46234189564895</v>
      </c>
      <c r="V20" s="4">
        <f>V4/V13</f>
        <v>1.80807887342226</v>
      </c>
      <c r="W20" s="4">
        <f>V20-(V19-W19)*($V20-$AA20)/($V$19-$AA$19)</f>
        <v>1.68691257717023</v>
      </c>
      <c r="X20" s="4">
        <f>W20-(W19-X19)*($V20-$AA20)/($V$19-$AA$19)</f>
        <v>1.32131347798761</v>
      </c>
      <c r="Y20" s="4">
        <f>X20-(X19-Y19)*($V20-$AA20)/($V$19-$AA$19)</f>
        <v>1.13579258703788</v>
      </c>
      <c r="Z20" s="4">
        <f>Y20-(Y19-Z19)*($V20-$AA20)/($V$19-$AA$19)</f>
        <v>0.942819749865848</v>
      </c>
      <c r="AA20" s="4">
        <f>AA4/AA13</f>
        <v>0.912665653281024</v>
      </c>
      <c r="AB20" s="4">
        <f>AA20-(AA19-AB19)*($AA20-$AF20)/($AA$19-$AF$19)</f>
        <v>0.824829624928652</v>
      </c>
      <c r="AC20" s="4">
        <f>AB20-(AB19-AC19)*($AA20-$AF20)/($AA$19-$AF$19)</f>
        <v>0.696570364797816</v>
      </c>
      <c r="AD20" s="4">
        <f>AC20-(AC19-AD19)*($AA20-$AF20)/($AA$19-$AF$19)</f>
        <v>0.591522072645002</v>
      </c>
      <c r="AE20" s="4">
        <f>AD20-(AD19-AE19)*($AA20-$AF20)/($AA$19-$AF$19)</f>
        <v>0.574147932491065</v>
      </c>
      <c r="AF20" s="4">
        <f>AF4/AF13</f>
        <v>0.503294131354652</v>
      </c>
      <c r="AG20" s="4">
        <f>AF20-(AF19-AG19)*($AF20-$AK20)/($AF$19-$AK$19)</f>
        <v>0.459385620315545</v>
      </c>
      <c r="AH20" s="4">
        <f>AG20-(AG19-AH19)*($AF20-$AK20)/($AF$19-$AK$19)</f>
        <v>0.426457381574058</v>
      </c>
      <c r="AI20" s="4">
        <f>AH20-(AH19-AI19)*($AF20-$AK20)/($AF$19-$AK$19)</f>
        <v>0.303067610332427</v>
      </c>
      <c r="AJ20" s="4">
        <f>AI20-(AI19-AJ19)*($AF20-$AK20)/($AF$19-$AK$19)</f>
        <v>0.233439529112877</v>
      </c>
      <c r="AK20" s="4">
        <f>AK4/AK13</f>
        <v>0.200241824820087</v>
      </c>
    </row>
    <row r="21" spans="1:37">
      <c r="A21">
        <f t="shared" si="0"/>
        <v>21</v>
      </c>
      <c r="B21" t="s">
        <v>122</v>
      </c>
      <c r="C21" s="122">
        <f t="shared" ref="C21:D21" si="14">D21</f>
        <v>8.24867126054661</v>
      </c>
      <c r="D21" s="122">
        <f t="shared" si="14"/>
        <v>8.24867126054661</v>
      </c>
      <c r="E21" s="4">
        <f>SUM(E4:E6)/E13</f>
        <v>8.24867126054661</v>
      </c>
      <c r="F21" s="4">
        <f t="shared" ref="F21:P21" si="15">E21-(E19-F19)*($E21-$Q21)/($E$19-$Q$19)</f>
        <v>8.05492255946508</v>
      </c>
      <c r="G21" s="4">
        <f t="shared" si="15"/>
        <v>7.58652377493512</v>
      </c>
      <c r="H21" s="4">
        <f t="shared" si="15"/>
        <v>7.65200706994068</v>
      </c>
      <c r="I21" s="4">
        <f t="shared" si="15"/>
        <v>7.4486938681416</v>
      </c>
      <c r="J21" s="4">
        <f t="shared" si="15"/>
        <v>7.05539852254688</v>
      </c>
      <c r="K21" s="4">
        <f t="shared" si="15"/>
        <v>6.83446493464727</v>
      </c>
      <c r="L21" s="4">
        <f t="shared" si="15"/>
        <v>6.60767193589557</v>
      </c>
      <c r="M21" s="4">
        <f t="shared" si="15"/>
        <v>6.24942585189977</v>
      </c>
      <c r="N21" s="4">
        <f t="shared" si="15"/>
        <v>6.2059459137741</v>
      </c>
      <c r="O21" s="4">
        <f t="shared" si="15"/>
        <v>5.91240731167805</v>
      </c>
      <c r="P21" s="4">
        <f t="shared" si="15"/>
        <v>5.60803219064225</v>
      </c>
      <c r="Q21" s="4">
        <f>SUM(Q4:Q6)/Q13</f>
        <v>5.2481978021096</v>
      </c>
      <c r="R21" s="4">
        <f>Q21-(Q19-R19)*($Q21-$V21)/($Q$19-$V$19)</f>
        <v>4.54573276493162</v>
      </c>
      <c r="S21" s="4">
        <f>R21-(R19-S19)*($Q21-$V21)/($Q$19-$V$19)</f>
        <v>3.59808512487754</v>
      </c>
      <c r="T21" s="4">
        <f>S21-(S19-T19)*($Q21-$V21)/($Q$19-$V$19)</f>
        <v>3.29587842539145</v>
      </c>
      <c r="U21" s="4">
        <f>T21-(T19-U19)*($Q21-$V21)/($Q$19-$V$19)</f>
        <v>2.63896613016371</v>
      </c>
      <c r="V21" s="4">
        <f>SUM(V4:V6)/V13</f>
        <v>1.97695034714769</v>
      </c>
      <c r="W21" s="4">
        <f>V21-(V19-W19)*($V21-$AA21)/($V$19-$AA$19)</f>
        <v>1.8493618397132</v>
      </c>
      <c r="X21" s="4">
        <f>W21-(W19-X19)*($V21-$AA21)/($V$19-$AA$19)</f>
        <v>1.46438478894095</v>
      </c>
      <c r="Y21" s="4">
        <f>X21-(X19-Y19)*($V21-$AA21)/($V$19-$AA$19)</f>
        <v>1.26903068217716</v>
      </c>
      <c r="Z21" s="4">
        <f>Y21-(Y19-Z19)*($V21-$AA21)/($V$19-$AA$19)</f>
        <v>1.06582965159548</v>
      </c>
      <c r="AA21" s="4">
        <f>SUM(AA4:AA6)/AA13</f>
        <v>1.03407728897237</v>
      </c>
      <c r="AB21" s="4">
        <f>AA21-(AA19-AB19)*($AA21-$AF21)/($AA$19-$AF$19)</f>
        <v>0.935544231059637</v>
      </c>
      <c r="AC21" s="4">
        <f>AB21-(AB19-AC19)*($AA21-$AF21)/($AA$19-$AF$19)</f>
        <v>0.7916650354337</v>
      </c>
      <c r="AD21" s="4">
        <f>AC21-(AC19-AD19)*($AA21-$AF21)/($AA$19-$AF$19)</f>
        <v>0.673823534076158</v>
      </c>
      <c r="AE21" s="4">
        <f>AD21-(AD19-AE19)*($AA21-$AF21)/($AA$19-$AF$19)</f>
        <v>0.654333500315705</v>
      </c>
      <c r="AF21" s="4">
        <f>SUM(AF4:AF6)/AF13</f>
        <v>0.574850834470385</v>
      </c>
      <c r="AG21" s="4">
        <f>AF21-(AF19-AG19)*($AF21-$AK21)/($AF$19-$AK$19)</f>
        <v>0.528495010203488</v>
      </c>
      <c r="AH21" s="4">
        <f>AG21-(AG19-AH19)*($AF21-$AK21)/($AF$19-$AK$19)</f>
        <v>0.493731461807158</v>
      </c>
      <c r="AI21" s="4">
        <f>AH21-(AH19-AI19)*($AF21-$AK21)/($AF$19-$AK$19)</f>
        <v>0.363464358308358</v>
      </c>
      <c r="AJ21" s="4">
        <f>AI21-(AI19-AJ19)*($AF21-$AK21)/($AF$19-$AK$19)</f>
        <v>0.289955441228936</v>
      </c>
      <c r="AK21" s="4">
        <f>SUM(AK4:AK6)/AK13</f>
        <v>0.254907408174699</v>
      </c>
    </row>
    <row r="22" spans="1:37">
      <c r="A22">
        <f t="shared" si="0"/>
        <v>22</v>
      </c>
      <c r="B22" t="s">
        <v>123</v>
      </c>
      <c r="C22" s="122">
        <f t="shared" ref="C22:D22" si="16">D22</f>
        <v>11.5101208019133</v>
      </c>
      <c r="D22" s="122">
        <f t="shared" si="16"/>
        <v>11.5101208019133</v>
      </c>
      <c r="E22" s="4">
        <f>E2/E15</f>
        <v>11.5101208019133</v>
      </c>
      <c r="F22" s="4">
        <f t="shared" ref="F22:P22" si="17">E22-(E19-F19)*($E22-$Q22)/($E$19-$Q$19)</f>
        <v>11.2110291879589</v>
      </c>
      <c r="G22" s="4">
        <f t="shared" si="17"/>
        <v>10.487957767829</v>
      </c>
      <c r="H22" s="4">
        <f t="shared" si="17"/>
        <v>10.5890449197992</v>
      </c>
      <c r="I22" s="4">
        <f t="shared" si="17"/>
        <v>10.275188499989</v>
      </c>
      <c r="J22" s="4">
        <f t="shared" si="17"/>
        <v>9.6680549346126</v>
      </c>
      <c r="K22" s="4">
        <f t="shared" si="17"/>
        <v>9.32699776616313</v>
      </c>
      <c r="L22" s="4">
        <f t="shared" si="17"/>
        <v>8.97689537243579</v>
      </c>
      <c r="M22" s="4">
        <f t="shared" si="17"/>
        <v>8.42386766769748</v>
      </c>
      <c r="N22" s="4">
        <f t="shared" si="17"/>
        <v>8.35674729581342</v>
      </c>
      <c r="O22" s="4">
        <f t="shared" si="17"/>
        <v>7.90360911337016</v>
      </c>
      <c r="P22" s="4">
        <f t="shared" si="17"/>
        <v>7.43374249909099</v>
      </c>
      <c r="Q22" s="4">
        <f>Q2/Q15</f>
        <v>6.87826291434148</v>
      </c>
      <c r="R22" s="4">
        <f>Q22-(Q19-R19)*($Q22-$V22)/($Q$19-$V$19)</f>
        <v>5.98136566339865</v>
      </c>
      <c r="S22" s="4">
        <f>R22-(R19-S19)*($Q22-$V22)/($Q$19-$V$19)</f>
        <v>4.77142279330014</v>
      </c>
      <c r="T22" s="4">
        <f>S22-(S19-T19)*($Q22-$V22)/($Q$19-$V$19)</f>
        <v>4.385569628174</v>
      </c>
      <c r="U22" s="4">
        <f>T22-(T19-U19)*($Q22-$V22)/($Q$19-$V$19)</f>
        <v>3.54683346264576</v>
      </c>
      <c r="V22" s="4">
        <f>V2/V15</f>
        <v>2.70158123734903</v>
      </c>
      <c r="W22" s="4">
        <f>V22-(V19-W19)*($V22-$AA22)/($V$19-$AA$19)</f>
        <v>2.53104951413367</v>
      </c>
      <c r="X22" s="4">
        <f>W22-(W19-X19)*($V22-$AA22)/($V$19-$AA$19)</f>
        <v>2.01649846885032</v>
      </c>
      <c r="Y22" s="4">
        <f>X22-(X19-Y19)*($V22-$AA22)/($V$19-$AA$19)</f>
        <v>1.75539287922086</v>
      </c>
      <c r="Z22" s="4">
        <f>Y22-(Y19-Z19)*($V22-$AA22)/($V$19-$AA$19)</f>
        <v>1.48379928038498</v>
      </c>
      <c r="AA22" s="4">
        <f>AA2/AA15</f>
        <v>1.44135983796845</v>
      </c>
      <c r="AB22" s="4">
        <f>AA22-(AA19-AB19)*($AA22-$AF22)/($AA$19-$AF$19)</f>
        <v>1.31150316749006</v>
      </c>
      <c r="AC22" s="4">
        <f>AB22-(AB19-AC19)*($AA22-$AF22)/($AA$19-$AF$19)</f>
        <v>1.12188484353994</v>
      </c>
      <c r="AD22" s="4">
        <f>AC22-(AC19-AD19)*($AA22-$AF22)/($AA$19-$AF$19)</f>
        <v>0.966581584566515</v>
      </c>
      <c r="AE22" s="4">
        <f>AD22-(AD19-AE19)*($AA22-$AF22)/($AA$19-$AF$19)</f>
        <v>0.940895678280268</v>
      </c>
      <c r="AF22" s="4">
        <f>AF2/AF15</f>
        <v>0.836145510508547</v>
      </c>
      <c r="AG22" s="4">
        <f>AF22-(AF19-AG19)*($AF22-$AK22)/($AF$19-$AK$19)</f>
        <v>0.766491748418357</v>
      </c>
      <c r="AH22" s="4">
        <f>AG22-(AG19-AH19)*($AF22-$AK22)/($AF$19-$AK$19)</f>
        <v>0.714256415152199</v>
      </c>
      <c r="AI22" s="4">
        <f>AH22-(AH19-AI19)*($AF22-$AK22)/($AF$19-$AK$19)</f>
        <v>0.518518468976507</v>
      </c>
      <c r="AJ22" s="4">
        <f>AI22-(AI19-AJ19)*($AF22-$AK22)/($AF$19-$AK$19)</f>
        <v>0.408064762182774</v>
      </c>
      <c r="AK22" s="4">
        <f>AK2/AK15</f>
        <v>0.355401965334779</v>
      </c>
    </row>
    <row r="23" spans="1:38">
      <c r="A23">
        <f t="shared" si="0"/>
        <v>23</v>
      </c>
      <c r="B23" s="121" t="s">
        <v>124</v>
      </c>
      <c r="C23" s="122">
        <f t="shared" ref="C23:D23" si="18">D23</f>
        <v>0.418040921900816</v>
      </c>
      <c r="D23" s="122">
        <f t="shared" si="18"/>
        <v>0.418040921900816</v>
      </c>
      <c r="E23" s="4">
        <v>0.418040921900816</v>
      </c>
      <c r="F23" s="4">
        <v>0.408870751798659</v>
      </c>
      <c r="G23" s="4">
        <v>0.400136393532343</v>
      </c>
      <c r="H23" s="4">
        <v>0.39180750031582</v>
      </c>
      <c r="I23" s="4">
        <v>0.383856478957338</v>
      </c>
      <c r="J23" s="4">
        <v>0.376258184468897</v>
      </c>
      <c r="K23" s="4">
        <v>0.36898965443737</v>
      </c>
      <c r="L23" s="4">
        <v>0.362029877245798</v>
      </c>
      <c r="M23" s="4">
        <v>0.355359589216912</v>
      </c>
      <c r="N23" s="4">
        <v>0.348961096554143</v>
      </c>
      <c r="O23" s="4">
        <v>0.342818118614228</v>
      </c>
      <c r="P23" s="4">
        <v>0.336915649588314</v>
      </c>
      <c r="Q23" s="4">
        <v>0.331239836117451</v>
      </c>
      <c r="R23" s="4">
        <v>0.316882159645001</v>
      </c>
      <c r="S23" s="4">
        <v>0.30295964432058</v>
      </c>
      <c r="T23" s="4">
        <v>0.28945280178551</v>
      </c>
      <c r="U23" s="4">
        <v>0.27634329025985</v>
      </c>
      <c r="V23" s="4">
        <v>0.263613831442362</v>
      </c>
      <c r="W23" s="4">
        <v>0.246639436536824</v>
      </c>
      <c r="X23" s="4">
        <v>0.230210843807152</v>
      </c>
      <c r="Y23" s="4">
        <v>0.214302144842954</v>
      </c>
      <c r="Z23" s="4">
        <v>0.198889045469874</v>
      </c>
      <c r="AA23" s="4">
        <v>0.183948741958121</v>
      </c>
      <c r="AB23" s="4">
        <v>0.167743386553953</v>
      </c>
      <c r="AC23" s="4">
        <v>0.15186009595476</v>
      </c>
      <c r="AD23" s="4">
        <v>0.136289363566311</v>
      </c>
      <c r="AE23" s="4">
        <v>0.121022053298589</v>
      </c>
      <c r="AF23" s="4">
        <v>0.106049381690202</v>
      </c>
      <c r="AG23" s="4">
        <v>0.0997963930850234</v>
      </c>
      <c r="AH23" s="4">
        <v>0.0936401801174529</v>
      </c>
      <c r="AI23" s="4">
        <v>0.0875785133878947</v>
      </c>
      <c r="AJ23" s="4">
        <v>0.0816092314525258</v>
      </c>
      <c r="AK23" s="4">
        <v>0.0757302382536226</v>
      </c>
      <c r="AL23" s="5"/>
    </row>
    <row r="24" spans="1:37">
      <c r="A24">
        <f t="shared" si="0"/>
        <v>24</v>
      </c>
      <c r="B24" s="121" t="s">
        <v>125</v>
      </c>
      <c r="C24" s="122">
        <f t="shared" ref="C24:D24" si="19">D24</f>
        <v>0.3</v>
      </c>
      <c r="D24" s="122">
        <f t="shared" si="19"/>
        <v>0.3</v>
      </c>
      <c r="E24" s="4">
        <v>0.3</v>
      </c>
      <c r="F24" s="4">
        <v>0.293010709316617</v>
      </c>
      <c r="G24" s="4">
        <v>0.286021418633234</v>
      </c>
      <c r="H24" s="4">
        <v>0.27903212794985</v>
      </c>
      <c r="I24" s="4">
        <v>0.272042837266467</v>
      </c>
      <c r="J24" s="4">
        <v>0.265053546583084</v>
      </c>
      <c r="K24" s="4">
        <v>0.258064255899701</v>
      </c>
      <c r="L24" s="4">
        <v>0.251074965216317</v>
      </c>
      <c r="M24" s="4">
        <v>0.244085674532934</v>
      </c>
      <c r="N24" s="4">
        <v>0.237096383849551</v>
      </c>
      <c r="O24" s="4">
        <v>0.230107093166168</v>
      </c>
      <c r="P24" s="4">
        <v>0.223117802482785</v>
      </c>
      <c r="Q24" s="4">
        <v>0.216128511799401</v>
      </c>
      <c r="R24" s="4">
        <v>0.211638420287961</v>
      </c>
      <c r="S24" s="4">
        <v>0.20714832877652</v>
      </c>
      <c r="T24" s="4">
        <v>0.20265823726508</v>
      </c>
      <c r="U24" s="4">
        <v>0.198168145753639</v>
      </c>
      <c r="V24" s="4">
        <v>0.193678054242199</v>
      </c>
      <c r="W24" s="4">
        <v>0.188199568919312</v>
      </c>
      <c r="X24" s="4">
        <v>0.182721083596425</v>
      </c>
      <c r="Y24" s="4">
        <v>0.177242598273538</v>
      </c>
      <c r="Z24" s="4">
        <v>0.171764112950651</v>
      </c>
      <c r="AA24" s="4">
        <v>0.166285627627764</v>
      </c>
      <c r="AB24" s="4">
        <v>0.162140699537888</v>
      </c>
      <c r="AC24" s="4">
        <v>0.157995771448012</v>
      </c>
      <c r="AD24" s="4">
        <v>0.153850843358135</v>
      </c>
      <c r="AE24" s="4">
        <v>0.149705915268259</v>
      </c>
      <c r="AF24" s="4">
        <v>0.145560987178383</v>
      </c>
      <c r="AG24" s="4">
        <v>0.127707045729654</v>
      </c>
      <c r="AH24" s="4">
        <v>0.109853104280926</v>
      </c>
      <c r="AI24" s="4">
        <v>0.0919991628321977</v>
      </c>
      <c r="AJ24" s="4">
        <v>0.0741452213834694</v>
      </c>
      <c r="AK24" s="4">
        <v>0.0562912799347411</v>
      </c>
    </row>
    <row r="25" spans="2:4">
      <c r="B25" s="123"/>
      <c r="C25" s="124"/>
      <c r="D25" s="124"/>
    </row>
    <row r="26" spans="2:4">
      <c r="B26" s="123"/>
      <c r="C26" s="124"/>
      <c r="D26" s="124"/>
    </row>
    <row r="27" spans="2:4">
      <c r="B27" s="123"/>
      <c r="C27" s="124"/>
      <c r="D27" s="124"/>
    </row>
    <row r="28" spans="2:4">
      <c r="B28" s="123"/>
      <c r="C28" s="124"/>
      <c r="D28" s="124"/>
    </row>
    <row r="29" spans="2:4">
      <c r="B29" s="123"/>
      <c r="C29" s="124"/>
      <c r="D29" s="124"/>
    </row>
    <row r="30" spans="2:4">
      <c r="B30" s="123"/>
      <c r="C30" s="124"/>
      <c r="D30" s="124"/>
    </row>
    <row r="31" spans="2:4">
      <c r="B31" s="123"/>
      <c r="C31" s="124"/>
      <c r="D31" s="124"/>
    </row>
    <row r="32" spans="2:4">
      <c r="B32" s="123"/>
      <c r="C32" s="124"/>
      <c r="D32" s="124"/>
    </row>
    <row r="33" spans="2:4">
      <c r="B33" s="123"/>
      <c r="C33" s="124"/>
      <c r="D33" s="124"/>
    </row>
    <row r="34" spans="2:4">
      <c r="B34" s="123"/>
      <c r="C34" s="124"/>
      <c r="D34" s="124"/>
    </row>
    <row r="35" spans="2:4">
      <c r="B35" s="123"/>
      <c r="C35" s="124"/>
      <c r="D35" s="124"/>
    </row>
    <row r="36" spans="2:4">
      <c r="B36" s="123"/>
      <c r="C36" s="124"/>
      <c r="D36" s="124"/>
    </row>
    <row r="37" spans="2:4">
      <c r="B37" s="123"/>
      <c r="C37" s="124"/>
      <c r="D37" s="124"/>
    </row>
    <row r="38" spans="2:4">
      <c r="B38" s="123"/>
      <c r="C38" s="124"/>
      <c r="D38" s="124"/>
    </row>
    <row r="39" spans="2:4">
      <c r="B39" s="123"/>
      <c r="C39" s="124"/>
      <c r="D39" s="124"/>
    </row>
    <row r="40" spans="2:4">
      <c r="B40" s="123"/>
      <c r="C40" s="124"/>
      <c r="D40" s="124"/>
    </row>
    <row r="41" spans="2:4">
      <c r="B41" s="123"/>
      <c r="C41" s="124"/>
      <c r="D41" s="124"/>
    </row>
    <row r="42" spans="2:4">
      <c r="B42" s="123"/>
      <c r="C42" s="124"/>
      <c r="D42" s="124"/>
    </row>
    <row r="43" spans="2:4">
      <c r="B43" s="123"/>
      <c r="C43" s="124"/>
      <c r="D43" s="124"/>
    </row>
    <row r="44" spans="2:4">
      <c r="B44" s="123"/>
      <c r="C44" s="124"/>
      <c r="D44" s="124"/>
    </row>
    <row r="45" spans="2:4">
      <c r="B45" s="123"/>
      <c r="C45" s="124"/>
      <c r="D45" s="124"/>
    </row>
    <row r="46" spans="2:4">
      <c r="B46" s="123"/>
      <c r="C46" s="124"/>
      <c r="D46" s="124"/>
    </row>
    <row r="47" spans="2:4">
      <c r="B47" s="123"/>
      <c r="C47" s="124"/>
      <c r="D47" s="124"/>
    </row>
    <row r="48" spans="2:4">
      <c r="B48" s="123"/>
      <c r="C48" s="124"/>
      <c r="D48" s="124"/>
    </row>
    <row r="49" spans="2:4">
      <c r="B49" s="123"/>
      <c r="C49" s="124"/>
      <c r="D49" s="124"/>
    </row>
    <row r="50" spans="2:4">
      <c r="B50" s="123"/>
      <c r="C50" s="124"/>
      <c r="D50" s="124"/>
    </row>
    <row r="51" spans="2:4">
      <c r="B51" s="123"/>
      <c r="C51" s="124"/>
      <c r="D51" s="124"/>
    </row>
    <row r="52" spans="2:4">
      <c r="B52" s="123"/>
      <c r="C52" s="124"/>
      <c r="D52" s="124"/>
    </row>
    <row r="53" spans="2:4">
      <c r="B53" s="123"/>
      <c r="C53" s="124"/>
      <c r="D53" s="124"/>
    </row>
    <row r="54" spans="2:4">
      <c r="B54" s="123"/>
      <c r="C54" s="124"/>
      <c r="D54" s="124"/>
    </row>
    <row r="55" spans="2:4">
      <c r="B55" s="123"/>
      <c r="C55" s="124"/>
      <c r="D55" s="124"/>
    </row>
    <row r="56" spans="2:4">
      <c r="B56" s="123"/>
      <c r="C56" s="124"/>
      <c r="D56" s="124"/>
    </row>
    <row r="57" ht="14.25" spans="2:17">
      <c r="B57" s="123"/>
      <c r="C57" s="124"/>
      <c r="D57" s="124"/>
      <c r="Q57" s="125" t="s">
        <v>126</v>
      </c>
    </row>
    <row r="58" ht="14.25" spans="11:17">
      <c r="K58" s="125" t="s">
        <v>127</v>
      </c>
      <c r="Q58" s="126">
        <f>E11</f>
        <v>12.6805481309251</v>
      </c>
    </row>
    <row r="59" ht="14.25" spans="11:11">
      <c r="K59" s="126">
        <f>E12</f>
        <v>19.0740548547319</v>
      </c>
    </row>
    <row r="63" ht="14.25"/>
    <row r="64" ht="14.25" spans="7:21">
      <c r="G64" s="125" t="s">
        <v>128</v>
      </c>
      <c r="I64" s="126">
        <f>E9</f>
        <v>64.335833</v>
      </c>
      <c r="K64" s="125" t="s">
        <v>129</v>
      </c>
      <c r="M64" s="126">
        <f>E13</f>
        <v>129.258239694668</v>
      </c>
      <c r="O64" s="125" t="s">
        <v>130</v>
      </c>
      <c r="Q64" s="126">
        <f>E15</f>
        <v>95.1112611361222</v>
      </c>
      <c r="S64" s="125" t="s">
        <v>131</v>
      </c>
      <c r="U64" s="126" t="e">
        <f>#REF!</f>
        <v>#REF!</v>
      </c>
    </row>
    <row r="67" ht="14.25"/>
    <row r="68" ht="14.25" spans="15:15">
      <c r="O68" s="126">
        <f>E10</f>
        <v>33.1678037090109</v>
      </c>
    </row>
    <row r="69" spans="15:15">
      <c r="O69" s="125" t="s">
        <v>126</v>
      </c>
    </row>
  </sheetData>
  <sheetProtection algorithmName="SHA-512" hashValue="M9VVrNQAWvtSJsMvZEmelqWRlT1DwNMDPUDhLmevUaD6bjH7wLY2OVIrSH3yOIbd3Kacc7PU1krvDRgwaVwtfw==" saltValue="JIch692sN/eBdeMQjQTXVA==" spinCount="100000" sheet="1" selectLockedCells="1" objects="1" scenarios="1"/>
  <pageMargins left="0.7" right="0.7" top="0.75" bottom="0.75" header="0.3" footer="0.3"/>
  <pageSetup paperSize="9" orientation="portrait"/>
  <headerFooter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tabColor theme="5" tint="0.399975585192419"/>
  </sheetPr>
  <dimension ref="A1:M58"/>
  <sheetViews>
    <sheetView workbookViewId="0">
      <selection activeCell="A2" sqref="A2"/>
    </sheetView>
  </sheetViews>
  <sheetFormatPr defaultColWidth="9.16666666666667" defaultRowHeight="13.5"/>
  <cols>
    <col min="1" max="1" width="37" style="8" customWidth="1"/>
    <col min="2" max="7" width="13.6666666666667" style="9" customWidth="1"/>
    <col min="8" max="10" width="9.16666666666667" style="9"/>
    <col min="11" max="16384" width="9.16666666666667" style="8"/>
  </cols>
  <sheetData>
    <row r="1" s="6" customFormat="1" ht="14.25" spans="1:10">
      <c r="A1" s="10"/>
      <c r="B1" s="10"/>
      <c r="C1" s="10"/>
      <c r="D1" s="10"/>
      <c r="E1" s="10"/>
      <c r="F1" s="10"/>
      <c r="G1" s="10"/>
      <c r="H1" s="11"/>
      <c r="I1" s="11"/>
      <c r="J1" s="94"/>
    </row>
    <row r="2" s="6" customFormat="1" ht="14.25" spans="1:10">
      <c r="A2" s="10"/>
      <c r="C2" s="10"/>
      <c r="D2" s="10"/>
      <c r="E2" s="10"/>
      <c r="F2" s="10"/>
      <c r="G2" s="10"/>
      <c r="H2" s="11"/>
      <c r="I2" s="11"/>
      <c r="J2" s="94"/>
    </row>
    <row r="3" s="6" customFormat="1" ht="14.25" spans="1:10">
      <c r="A3" s="10"/>
      <c r="B3" s="10"/>
      <c r="C3" s="10"/>
      <c r="D3" s="10"/>
      <c r="E3" s="10"/>
      <c r="F3" s="10"/>
      <c r="G3" s="10"/>
      <c r="H3" s="11"/>
      <c r="I3" s="11"/>
      <c r="J3" s="94"/>
    </row>
    <row r="4" s="6" customFormat="1" ht="19.5" spans="1:10">
      <c r="A4" s="10"/>
      <c r="B4" s="12" t="s">
        <v>132</v>
      </c>
      <c r="C4" s="10"/>
      <c r="D4" s="10"/>
      <c r="E4" s="10"/>
      <c r="F4" s="10"/>
      <c r="G4" s="10"/>
      <c r="H4" s="11"/>
      <c r="I4" s="11"/>
      <c r="J4" s="94"/>
    </row>
    <row r="5" s="6" customFormat="1" ht="14.25" spans="1:10">
      <c r="A5" s="10"/>
      <c r="C5" s="10"/>
      <c r="D5" s="10"/>
      <c r="E5" s="10"/>
      <c r="F5" s="10"/>
      <c r="G5" s="10"/>
      <c r="H5" s="11"/>
      <c r="I5" s="11"/>
      <c r="J5" s="94"/>
    </row>
    <row r="6" spans="1:1">
      <c r="A6" s="8" t="s">
        <v>133</v>
      </c>
    </row>
    <row r="7" ht="14.25"/>
    <row r="8" s="7" customFormat="1" ht="16.5" spans="1:10">
      <c r="A8" s="13"/>
      <c r="B8" s="14" t="s">
        <v>134</v>
      </c>
      <c r="C8" s="14"/>
      <c r="D8" s="14"/>
      <c r="E8" s="14"/>
      <c r="F8" s="15"/>
      <c r="G8" s="15"/>
      <c r="H8" s="16" t="s">
        <v>135</v>
      </c>
      <c r="I8" s="16" t="s">
        <v>136</v>
      </c>
      <c r="J8" s="95" t="s">
        <v>137</v>
      </c>
    </row>
    <row r="9" s="7" customFormat="1" ht="14.25" spans="1:10">
      <c r="A9" s="17"/>
      <c r="B9" s="18">
        <v>2018</v>
      </c>
      <c r="C9" s="18">
        <v>2030</v>
      </c>
      <c r="D9" s="18">
        <v>2035</v>
      </c>
      <c r="E9" s="18">
        <v>2040</v>
      </c>
      <c r="F9" s="19">
        <v>2045</v>
      </c>
      <c r="G9" s="19">
        <v>2050</v>
      </c>
      <c r="H9" s="20"/>
      <c r="I9" s="20"/>
      <c r="J9" s="96"/>
    </row>
    <row r="10" s="7" customFormat="1" ht="14.25" spans="1:12">
      <c r="A10" s="21" t="s">
        <v>138</v>
      </c>
      <c r="B10" s="22">
        <v>670.1697539279</v>
      </c>
      <c r="C10" s="22">
        <v>461.325683968383</v>
      </c>
      <c r="D10" s="22">
        <v>73.6330967051758</v>
      </c>
      <c r="E10" s="22">
        <v>15.4183662519379</v>
      </c>
      <c r="F10" s="22">
        <v>5.55103933095364</v>
      </c>
      <c r="G10" s="22">
        <v>5.55103933095364</v>
      </c>
      <c r="H10" s="23">
        <f t="shared" ref="H10:H15" si="0">(C10-B10)/B10</f>
        <v>-0.311628611609925</v>
      </c>
      <c r="I10" s="23">
        <f t="shared" ref="I10:I15" si="1">(E10-B10)/B10</f>
        <v>-0.976993342117322</v>
      </c>
      <c r="J10" s="23">
        <f t="shared" ref="J10:J15" si="2">(G10-B10)/B10</f>
        <v>-0.991716965293616</v>
      </c>
      <c r="L10" s="7" t="s">
        <v>139</v>
      </c>
    </row>
    <row r="11" s="7" customFormat="1" ht="14.25" spans="1:12">
      <c r="A11" s="21" t="s">
        <v>140</v>
      </c>
      <c r="B11" s="22">
        <v>32.6790541443119</v>
      </c>
      <c r="C11" s="22">
        <v>26.511702426644</v>
      </c>
      <c r="D11" s="22">
        <v>20.1938774573963</v>
      </c>
      <c r="E11" s="22">
        <v>13.7927834582722</v>
      </c>
      <c r="F11" s="22">
        <v>8.70963778412609</v>
      </c>
      <c r="G11" s="22">
        <v>3.59057810137126</v>
      </c>
      <c r="H11" s="23">
        <f t="shared" si="0"/>
        <v>-0.188724915061268</v>
      </c>
      <c r="I11" s="23">
        <f t="shared" si="1"/>
        <v>-0.577931986728786</v>
      </c>
      <c r="J11" s="23">
        <f t="shared" si="2"/>
        <v>-0.890126008986823</v>
      </c>
      <c r="L11" s="7" t="s">
        <v>139</v>
      </c>
    </row>
    <row r="12" s="7" customFormat="1" ht="14.25" spans="1:12">
      <c r="A12" s="21" t="s">
        <v>141</v>
      </c>
      <c r="B12" s="22">
        <v>279.305297226877</v>
      </c>
      <c r="C12" s="22">
        <v>231.143823265301</v>
      </c>
      <c r="D12" s="22">
        <v>175.698504989617</v>
      </c>
      <c r="E12" s="22">
        <v>120.253186713931</v>
      </c>
      <c r="F12" s="22">
        <v>75.7789256125034</v>
      </c>
      <c r="G12" s="22">
        <v>31.3046645110776</v>
      </c>
      <c r="H12" s="23">
        <f t="shared" si="0"/>
        <v>-0.172433084655946</v>
      </c>
      <c r="I12" s="23">
        <f t="shared" si="1"/>
        <v>-0.569456118777973</v>
      </c>
      <c r="J12" s="23">
        <f t="shared" si="2"/>
        <v>-0.887919546024044</v>
      </c>
      <c r="L12" s="7" t="s">
        <v>142</v>
      </c>
    </row>
    <row r="13" s="7" customFormat="1" ht="14.25" spans="1:10">
      <c r="A13" s="21" t="s">
        <v>143</v>
      </c>
      <c r="B13" s="24">
        <v>77.2032</v>
      </c>
      <c r="C13" s="24">
        <v>64.4232117556833</v>
      </c>
      <c r="D13" s="24">
        <v>48.9411554855058</v>
      </c>
      <c r="E13" s="24">
        <v>33.5163466733672</v>
      </c>
      <c r="F13" s="24">
        <v>21.1083650435459</v>
      </c>
      <c r="G13" s="24">
        <v>8.72507429464387</v>
      </c>
      <c r="H13" s="25">
        <f t="shared" si="0"/>
        <v>-0.165537027536639</v>
      </c>
      <c r="I13" s="23">
        <f t="shared" si="1"/>
        <v>-0.565868426783253</v>
      </c>
      <c r="J13" s="23">
        <f t="shared" si="2"/>
        <v>-0.886985587454356</v>
      </c>
    </row>
    <row r="14" s="7" customFormat="1" ht="14.25" spans="1:10">
      <c r="A14" s="26" t="s">
        <v>144</v>
      </c>
      <c r="B14" s="27">
        <v>35.3848</v>
      </c>
      <c r="C14" s="27">
        <v>29.2832780707652</v>
      </c>
      <c r="D14" s="27">
        <v>22.245979766139</v>
      </c>
      <c r="E14" s="27">
        <v>15.2347030333487</v>
      </c>
      <c r="F14" s="27">
        <v>9.59471138342994</v>
      </c>
      <c r="G14" s="27">
        <v>3.96594286120176</v>
      </c>
      <c r="H14" s="28">
        <f t="shared" si="0"/>
        <v>-0.172433415738816</v>
      </c>
      <c r="I14" s="97">
        <f t="shared" si="1"/>
        <v>-0.569456291024714</v>
      </c>
      <c r="J14" s="25">
        <f t="shared" si="2"/>
        <v>-0.887919590863824</v>
      </c>
    </row>
    <row r="15" s="7" customFormat="1" ht="14.25" spans="1:10">
      <c r="A15" s="29" t="s">
        <v>145</v>
      </c>
      <c r="B15" s="30">
        <f t="shared" ref="B15:G15" si="3">SUM(B10:B14)</f>
        <v>1094.74210529909</v>
      </c>
      <c r="C15" s="30">
        <f t="shared" si="3"/>
        <v>812.687699486776</v>
      </c>
      <c r="D15" s="30">
        <f t="shared" si="3"/>
        <v>340.712614403834</v>
      </c>
      <c r="E15" s="30">
        <f t="shared" si="3"/>
        <v>198.215386130857</v>
      </c>
      <c r="F15" s="30">
        <f t="shared" si="3"/>
        <v>120.742679154559</v>
      </c>
      <c r="G15" s="30">
        <f t="shared" si="3"/>
        <v>53.1372990992482</v>
      </c>
      <c r="H15" s="31">
        <f t="shared" si="0"/>
        <v>-0.25764461277869</v>
      </c>
      <c r="I15" s="98">
        <f t="shared" si="1"/>
        <v>-0.818938738930934</v>
      </c>
      <c r="J15" s="99">
        <f t="shared" si="2"/>
        <v>-0.951461354375576</v>
      </c>
    </row>
    <row r="16" spans="1:10">
      <c r="A16" s="32"/>
      <c r="B16" s="32"/>
      <c r="C16" s="33"/>
      <c r="D16" s="33"/>
      <c r="E16" s="33"/>
      <c r="F16" s="33"/>
      <c r="G16" s="33"/>
      <c r="H16" s="33"/>
      <c r="I16" s="33"/>
      <c r="J16" s="33"/>
    </row>
    <row r="17" spans="1:10">
      <c r="A17" s="32"/>
      <c r="B17" s="32"/>
      <c r="C17" s="33"/>
      <c r="D17" s="33"/>
      <c r="E17" s="33"/>
      <c r="F17" s="33"/>
      <c r="G17" s="33"/>
      <c r="H17" s="33"/>
      <c r="I17" s="33"/>
      <c r="J17" s="33"/>
    </row>
    <row r="18" spans="1:10">
      <c r="A18" s="32" t="s">
        <v>146</v>
      </c>
      <c r="B18" s="33"/>
      <c r="C18" s="33"/>
      <c r="D18" s="33"/>
      <c r="E18" s="33"/>
      <c r="F18" s="33"/>
      <c r="G18" s="33"/>
      <c r="H18" s="33"/>
      <c r="I18" s="33"/>
      <c r="J18" s="33"/>
    </row>
    <row r="19" ht="14.25" spans="1:10">
      <c r="A19" s="32"/>
      <c r="B19" s="33"/>
      <c r="C19" s="33"/>
      <c r="D19" s="33"/>
      <c r="E19" s="33"/>
      <c r="F19" s="33"/>
      <c r="G19" s="33"/>
      <c r="H19" s="33"/>
      <c r="I19" s="33"/>
      <c r="J19" s="33"/>
    </row>
    <row r="20" ht="16.5" spans="1:10">
      <c r="A20" s="34"/>
      <c r="B20" s="35" t="s">
        <v>147</v>
      </c>
      <c r="C20" s="35"/>
      <c r="D20" s="35"/>
      <c r="E20" s="35"/>
      <c r="F20" s="36"/>
      <c r="G20" s="36"/>
      <c r="H20" s="37" t="s">
        <v>135</v>
      </c>
      <c r="I20" s="37" t="s">
        <v>136</v>
      </c>
      <c r="J20" s="100" t="s">
        <v>137</v>
      </c>
    </row>
    <row r="21" ht="14.25" spans="1:10">
      <c r="A21" s="38"/>
      <c r="B21" s="39">
        <v>2018</v>
      </c>
      <c r="C21" s="39">
        <v>2030</v>
      </c>
      <c r="D21" s="39">
        <v>2035</v>
      </c>
      <c r="E21" s="39">
        <v>2040</v>
      </c>
      <c r="F21" s="40">
        <v>2045</v>
      </c>
      <c r="G21" s="40">
        <v>2050</v>
      </c>
      <c r="H21" s="41"/>
      <c r="I21" s="41"/>
      <c r="J21" s="101"/>
    </row>
    <row r="22" s="7" customFormat="1" ht="14.25" spans="1:13">
      <c r="A22" s="42" t="s">
        <v>148</v>
      </c>
      <c r="B22" s="43">
        <v>1036.58887708048</v>
      </c>
      <c r="C22" s="43">
        <v>756.077466213819</v>
      </c>
      <c r="D22" s="43">
        <v>289.269442214061</v>
      </c>
      <c r="E22" s="43">
        <v>154.760140298824</v>
      </c>
      <c r="F22" s="43">
        <v>87.3096982544427</v>
      </c>
      <c r="G22" s="43">
        <v>35.1304664380632</v>
      </c>
      <c r="H22" s="44">
        <f>(C22-B22)/B22</f>
        <v>-0.27061009149231</v>
      </c>
      <c r="I22" s="44">
        <f>(E22-B22)/B22</f>
        <v>-0.850702488015595</v>
      </c>
      <c r="J22" s="44">
        <f>(G22-B22)/B22</f>
        <v>-0.966109547174568</v>
      </c>
      <c r="L22" s="102"/>
      <c r="M22" s="103"/>
    </row>
    <row r="23" s="7" customFormat="1" ht="14.25" spans="1:12">
      <c r="A23" s="45" t="s">
        <v>128</v>
      </c>
      <c r="B23" s="43">
        <v>823.2894339279</v>
      </c>
      <c r="C23" s="43">
        <v>586.092088184634</v>
      </c>
      <c r="D23" s="43">
        <v>165.091742115808</v>
      </c>
      <c r="E23" s="43">
        <v>74.7267247869863</v>
      </c>
      <c r="F23" s="43">
        <v>40.4988421923467</v>
      </c>
      <c r="G23" s="43">
        <v>18.31247514889</v>
      </c>
      <c r="H23" s="46">
        <f t="shared" ref="H23:H28" si="4">(C23-B23)/B23</f>
        <v>-0.28810930393167</v>
      </c>
      <c r="I23" s="46">
        <f t="shared" ref="I23:I28" si="5">(E23-B23)/B23</f>
        <v>-0.909233956240072</v>
      </c>
      <c r="J23" s="46">
        <f t="shared" ref="J23:J28" si="6">(G23-B23)/B23</f>
        <v>-0.977756941369305</v>
      </c>
      <c r="L23" s="104"/>
    </row>
    <row r="24" s="7" customFormat="1" ht="14.25" spans="1:12">
      <c r="A24" s="45" t="s">
        <v>149</v>
      </c>
      <c r="B24" s="43">
        <v>171.481043152578</v>
      </c>
      <c r="C24" s="43">
        <v>135.614632424116</v>
      </c>
      <c r="D24" s="43">
        <v>98.7426646646231</v>
      </c>
      <c r="E24" s="43">
        <v>63.2925448121195</v>
      </c>
      <c r="F24" s="43">
        <v>36.7566521806033</v>
      </c>
      <c r="G24" s="43">
        <v>13.0052229013731</v>
      </c>
      <c r="H24" s="46">
        <f t="shared" si="4"/>
        <v>-0.209156709506075</v>
      </c>
      <c r="I24" s="46">
        <f t="shared" si="5"/>
        <v>-0.63090646261229</v>
      </c>
      <c r="J24" s="46">
        <f t="shared" si="6"/>
        <v>-0.924159413412236</v>
      </c>
      <c r="L24" s="105"/>
    </row>
    <row r="25" s="7" customFormat="1" ht="14.25" spans="1:12">
      <c r="A25" s="47" t="s">
        <v>150</v>
      </c>
      <c r="B25" s="48">
        <v>18.6744746538002</v>
      </c>
      <c r="C25" s="48">
        <v>22.3145902118888</v>
      </c>
      <c r="D25" s="48">
        <v>20.3558120305504</v>
      </c>
      <c r="E25" s="48">
        <v>16.0305927680449</v>
      </c>
      <c r="F25" s="48">
        <v>9.54031217875824</v>
      </c>
      <c r="G25" s="48">
        <v>8.40422284349716</v>
      </c>
      <c r="H25" s="44">
        <f t="shared" si="4"/>
        <v>0.19492465654705</v>
      </c>
      <c r="I25" s="44">
        <f t="shared" si="5"/>
        <v>-0.141577309925414</v>
      </c>
      <c r="J25" s="44">
        <f t="shared" si="6"/>
        <v>-0.549962020388781</v>
      </c>
      <c r="L25" s="106"/>
    </row>
    <row r="26" s="7" customFormat="1" ht="14.25" spans="1:10">
      <c r="A26" s="49" t="s">
        <v>151</v>
      </c>
      <c r="B26" s="50">
        <v>10.9453752239736</v>
      </c>
      <c r="C26" s="51">
        <v>8.75940153684225</v>
      </c>
      <c r="D26" s="51">
        <v>6.66145902353824</v>
      </c>
      <c r="E26" s="51">
        <v>4.55710186684585</v>
      </c>
      <c r="F26" s="51">
        <v>2.87309335867868</v>
      </c>
      <c r="G26" s="51">
        <v>1.18631820896176</v>
      </c>
      <c r="H26" s="44">
        <f t="shared" si="4"/>
        <v>-0.199716651316203</v>
      </c>
      <c r="I26" s="44">
        <f t="shared" si="5"/>
        <v>-0.583650466649653</v>
      </c>
      <c r="J26" s="44">
        <f t="shared" si="6"/>
        <v>-0.891614660558793</v>
      </c>
    </row>
    <row r="27" s="7" customFormat="1" ht="14.25" spans="1:10">
      <c r="A27" s="52" t="s">
        <v>152</v>
      </c>
      <c r="B27" s="53">
        <v>28.5333783408367</v>
      </c>
      <c r="C27" s="53">
        <v>25.5362415242268</v>
      </c>
      <c r="D27" s="53">
        <v>24.4259011356843</v>
      </c>
      <c r="E27" s="53">
        <v>22.867551197143</v>
      </c>
      <c r="F27" s="53">
        <v>21.0195753626792</v>
      </c>
      <c r="G27" s="53">
        <v>8.41629160872605</v>
      </c>
      <c r="H27" s="54">
        <f t="shared" si="4"/>
        <v>-0.105039676017626</v>
      </c>
      <c r="I27" s="54">
        <f t="shared" si="5"/>
        <v>-0.198568395092032</v>
      </c>
      <c r="J27" s="54">
        <f t="shared" si="6"/>
        <v>-0.705036974304555</v>
      </c>
    </row>
    <row r="28" s="7" customFormat="1" ht="14.25" spans="1:10">
      <c r="A28" s="55" t="s">
        <v>145</v>
      </c>
      <c r="B28" s="56">
        <f>B22+B25+B26+B27</f>
        <v>1094.74210529909</v>
      </c>
      <c r="C28" s="56">
        <f t="shared" ref="C28:G28" si="7">C22+C25+C26+C27</f>
        <v>812.687699486777</v>
      </c>
      <c r="D28" s="56">
        <f t="shared" si="7"/>
        <v>340.712614403834</v>
      </c>
      <c r="E28" s="56">
        <f t="shared" si="7"/>
        <v>198.215386130857</v>
      </c>
      <c r="F28" s="56">
        <f t="shared" si="7"/>
        <v>120.742679154559</v>
      </c>
      <c r="G28" s="56">
        <f t="shared" si="7"/>
        <v>53.1372990992482</v>
      </c>
      <c r="H28" s="31">
        <f t="shared" si="4"/>
        <v>-0.25764461277869</v>
      </c>
      <c r="I28" s="31">
        <f t="shared" si="5"/>
        <v>-0.818938738930934</v>
      </c>
      <c r="J28" s="99">
        <f t="shared" si="6"/>
        <v>-0.951461354375576</v>
      </c>
    </row>
    <row r="29" spans="1:10">
      <c r="A29" s="32"/>
      <c r="B29" s="32"/>
      <c r="C29" s="33"/>
      <c r="D29" s="33"/>
      <c r="E29" s="33"/>
      <c r="F29" s="33"/>
      <c r="G29" s="33"/>
      <c r="H29" s="33"/>
      <c r="I29" s="33"/>
      <c r="J29" s="33"/>
    </row>
    <row r="30" spans="1:10">
      <c r="A30" s="32"/>
      <c r="B30" s="33"/>
      <c r="C30" s="33"/>
      <c r="D30" s="33"/>
      <c r="E30" s="33"/>
      <c r="F30" s="33"/>
      <c r="G30" s="33"/>
      <c r="H30" s="33"/>
      <c r="I30" s="33"/>
      <c r="J30" s="33"/>
    </row>
    <row r="31" spans="1:10">
      <c r="A31" s="32" t="s">
        <v>153</v>
      </c>
      <c r="B31" s="33"/>
      <c r="C31" s="33"/>
      <c r="D31" s="33"/>
      <c r="E31" s="33"/>
      <c r="F31" s="33"/>
      <c r="G31" s="33"/>
      <c r="H31" s="33"/>
      <c r="I31" s="33"/>
      <c r="J31" s="33"/>
    </row>
    <row r="32" ht="14.25" spans="1:10">
      <c r="A32" s="32"/>
      <c r="B32" s="33"/>
      <c r="C32" s="33"/>
      <c r="D32" s="33"/>
      <c r="E32" s="33"/>
      <c r="F32" s="33"/>
      <c r="G32" s="33"/>
      <c r="H32" s="33"/>
      <c r="I32" s="33"/>
      <c r="J32" s="33"/>
    </row>
    <row r="33" s="7" customFormat="1" ht="15.75" customHeight="1" spans="1:10">
      <c r="A33" s="57"/>
      <c r="B33" s="58" t="s">
        <v>154</v>
      </c>
      <c r="C33" s="59"/>
      <c r="D33" s="59"/>
      <c r="E33" s="59"/>
      <c r="F33" s="59"/>
      <c r="G33" s="60"/>
      <c r="H33" s="61" t="s">
        <v>135</v>
      </c>
      <c r="I33" s="61" t="s">
        <v>136</v>
      </c>
      <c r="J33" s="107" t="s">
        <v>137</v>
      </c>
    </row>
    <row r="34" s="7" customFormat="1" ht="14.25" spans="1:10">
      <c r="A34" s="62"/>
      <c r="B34" s="39">
        <v>2018</v>
      </c>
      <c r="C34" s="39">
        <v>2030</v>
      </c>
      <c r="D34" s="39">
        <v>2035</v>
      </c>
      <c r="E34" s="39">
        <v>2040</v>
      </c>
      <c r="F34" s="40">
        <v>2045</v>
      </c>
      <c r="G34" s="40">
        <v>2050</v>
      </c>
      <c r="H34" s="63"/>
      <c r="I34" s="63"/>
      <c r="J34" s="108"/>
    </row>
    <row r="35" s="7" customFormat="1" ht="14.25" spans="1:10">
      <c r="A35" s="64" t="s">
        <v>148</v>
      </c>
      <c r="B35" s="65">
        <v>64.335833</v>
      </c>
      <c r="C35" s="65">
        <v>65.6263777844428</v>
      </c>
      <c r="D35" s="65">
        <v>69.0366862868067</v>
      </c>
      <c r="E35" s="65">
        <v>71.0648235823417</v>
      </c>
      <c r="F35" s="65">
        <v>69.9785096964687</v>
      </c>
      <c r="G35" s="65">
        <v>67.8747558060466</v>
      </c>
      <c r="H35" s="66">
        <f t="shared" ref="H35:H41" si="8">(C35-B35)/B35</f>
        <v>0.0200595022130644</v>
      </c>
      <c r="I35" s="44">
        <f t="shared" ref="I35:I41" si="9">(E35-B35)/B35</f>
        <v>0.104591644633586</v>
      </c>
      <c r="J35" s="44">
        <f t="shared" ref="J35:J41" si="10">(G35-B35)/B35</f>
        <v>0.0550070254945882</v>
      </c>
    </row>
    <row r="36" s="7" customFormat="1" ht="14.25" spans="1:10">
      <c r="A36" s="67" t="s">
        <v>150</v>
      </c>
      <c r="B36" s="68">
        <v>31.754602985657</v>
      </c>
      <c r="C36" s="68">
        <v>48.823073585374</v>
      </c>
      <c r="D36" s="68">
        <v>57.2303673678992</v>
      </c>
      <c r="E36" s="68">
        <v>66.0946424622775</v>
      </c>
      <c r="F36" s="68">
        <v>73.7871831771293</v>
      </c>
      <c r="G36" s="68">
        <v>80.849758287666</v>
      </c>
      <c r="H36" s="66">
        <f t="shared" si="8"/>
        <v>0.537511698931539</v>
      </c>
      <c r="I36" s="44">
        <f t="shared" si="9"/>
        <v>1.08141926674792</v>
      </c>
      <c r="J36" s="44">
        <f t="shared" si="10"/>
        <v>1.54607995962615</v>
      </c>
    </row>
    <row r="37" s="7" customFormat="1" ht="14.25" spans="1:10">
      <c r="A37" s="69" t="s">
        <v>155</v>
      </c>
      <c r="B37" s="70">
        <v>12.6805481309251</v>
      </c>
      <c r="C37" s="70">
        <v>15.741106024424</v>
      </c>
      <c r="D37" s="70">
        <v>14.7541485080717</v>
      </c>
      <c r="E37" s="70">
        <v>14.5811378509501</v>
      </c>
      <c r="F37" s="70">
        <v>13.706448629658</v>
      </c>
      <c r="G37" s="70">
        <v>12.7566963738539</v>
      </c>
      <c r="H37" s="71">
        <f t="shared" si="8"/>
        <v>0.241358485603226</v>
      </c>
      <c r="I37" s="46">
        <f t="shared" si="9"/>
        <v>0.14988230007107</v>
      </c>
      <c r="J37" s="46">
        <f t="shared" si="10"/>
        <v>0.0060051223450776</v>
      </c>
    </row>
    <row r="38" s="7" customFormat="1" ht="14.25" spans="1:10">
      <c r="A38" s="69" t="s">
        <v>156</v>
      </c>
      <c r="B38" s="72">
        <v>19.0740548547319</v>
      </c>
      <c r="C38" s="70">
        <v>33.08196756095</v>
      </c>
      <c r="D38" s="70">
        <v>42.4762188598275</v>
      </c>
      <c r="E38" s="70">
        <v>51.5135046113275</v>
      </c>
      <c r="F38" s="70">
        <v>60.0807345474713</v>
      </c>
      <c r="G38" s="70">
        <v>68.093061913812</v>
      </c>
      <c r="H38" s="71">
        <f t="shared" si="8"/>
        <v>0.734396163422117</v>
      </c>
      <c r="I38" s="46">
        <f t="shared" si="9"/>
        <v>1.70071073002854</v>
      </c>
      <c r="J38" s="46">
        <f t="shared" si="10"/>
        <v>2.5699311149312</v>
      </c>
    </row>
    <row r="39" s="7" customFormat="1" ht="14.25" spans="1:10">
      <c r="A39" s="49" t="s">
        <v>151</v>
      </c>
      <c r="B39" s="73">
        <v>33.1678037090109</v>
      </c>
      <c r="C39" s="74">
        <v>35.5356459232274</v>
      </c>
      <c r="D39" s="74">
        <v>33.7201274722672</v>
      </c>
      <c r="E39" s="74">
        <v>32.4099044498903</v>
      </c>
      <c r="F39" s="74">
        <v>29.7107949595552</v>
      </c>
      <c r="G39" s="74">
        <v>26.7156891187139</v>
      </c>
      <c r="H39" s="66">
        <f t="shared" si="8"/>
        <v>0.0713897801310637</v>
      </c>
      <c r="I39" s="44">
        <f t="shared" si="9"/>
        <v>-0.0228504505685618</v>
      </c>
      <c r="J39" s="44">
        <f t="shared" si="10"/>
        <v>-0.19452944930882</v>
      </c>
    </row>
    <row r="40" s="7" customFormat="1" ht="14.25" spans="1:10">
      <c r="A40" s="75" t="s">
        <v>157</v>
      </c>
      <c r="B40" s="76">
        <v>95.1112611361222</v>
      </c>
      <c r="C40" s="76">
        <v>118.153043814636</v>
      </c>
      <c r="D40" s="76">
        <v>126.115998176743</v>
      </c>
      <c r="E40" s="76">
        <v>137.519709450372</v>
      </c>
      <c r="F40" s="76">
        <v>144.403907737449</v>
      </c>
      <c r="G40" s="76">
        <v>149.513239323802</v>
      </c>
      <c r="H40" s="66">
        <f t="shared" si="8"/>
        <v>0.24226135163466</v>
      </c>
      <c r="I40" s="44">
        <f t="shared" si="9"/>
        <v>0.445882514937486</v>
      </c>
      <c r="J40" s="44">
        <f t="shared" si="10"/>
        <v>0.571982513299028</v>
      </c>
    </row>
    <row r="41" s="7" customFormat="1" ht="14.25" spans="1:10">
      <c r="A41" s="52" t="s">
        <v>158</v>
      </c>
      <c r="B41" s="77">
        <v>81.7334311578985</v>
      </c>
      <c r="C41" s="77">
        <v>102.602791306341</v>
      </c>
      <c r="D41" s="77">
        <v>111.540408484783</v>
      </c>
      <c r="E41" s="77">
        <v>123.115168848774</v>
      </c>
      <c r="F41" s="77">
        <v>130.863970856325</v>
      </c>
      <c r="G41" s="77">
        <v>136.911330914309</v>
      </c>
      <c r="H41" s="78">
        <f t="shared" si="8"/>
        <v>0.255334443358012</v>
      </c>
      <c r="I41" s="78">
        <f t="shared" si="9"/>
        <v>0.506301241788454</v>
      </c>
      <c r="J41" s="109">
        <f t="shared" si="10"/>
        <v>0.675095844805702</v>
      </c>
    </row>
    <row r="42" s="7" customFormat="1" ht="14.25" spans="1:10">
      <c r="A42" s="47"/>
      <c r="B42" s="79"/>
      <c r="C42" s="79"/>
      <c r="D42" s="79"/>
      <c r="E42" s="79"/>
      <c r="F42" s="79"/>
      <c r="G42" s="79"/>
      <c r="H42" s="80"/>
      <c r="I42" s="110"/>
      <c r="J42" s="42"/>
    </row>
    <row r="43" s="7" customFormat="1" ht="14.25" spans="1:10">
      <c r="A43" s="42" t="s">
        <v>159</v>
      </c>
      <c r="B43" s="79"/>
      <c r="C43" s="79"/>
      <c r="D43" s="79"/>
      <c r="E43" s="79"/>
      <c r="F43" s="79"/>
      <c r="G43" s="79"/>
      <c r="H43" s="80"/>
      <c r="I43" s="110"/>
      <c r="J43" s="47"/>
    </row>
    <row r="44" s="7" customFormat="1" ht="14.25" spans="1:10">
      <c r="A44" s="42" t="s">
        <v>160</v>
      </c>
      <c r="B44" s="79"/>
      <c r="C44" s="79"/>
      <c r="D44" s="79"/>
      <c r="E44" s="79"/>
      <c r="F44" s="79"/>
      <c r="G44" s="79"/>
      <c r="H44" s="80"/>
      <c r="I44" s="110"/>
      <c r="J44" s="47"/>
    </row>
    <row r="45" ht="14.25" spans="1:10">
      <c r="A45" s="42" t="s">
        <v>161</v>
      </c>
      <c r="B45" s="33"/>
      <c r="C45" s="33"/>
      <c r="D45" s="33"/>
      <c r="E45" s="33"/>
      <c r="F45" s="33"/>
      <c r="G45" s="33"/>
      <c r="H45" s="33"/>
      <c r="I45" s="33"/>
      <c r="J45" s="33"/>
    </row>
    <row r="46" spans="1:10">
      <c r="A46" s="32"/>
      <c r="B46" s="33"/>
      <c r="C46" s="33"/>
      <c r="D46" s="33"/>
      <c r="E46" s="33"/>
      <c r="F46" s="33"/>
      <c r="G46" s="33"/>
      <c r="H46" s="33"/>
      <c r="I46" s="33"/>
      <c r="J46" s="33"/>
    </row>
    <row r="47" spans="1:10">
      <c r="A47" s="32" t="s">
        <v>162</v>
      </c>
      <c r="B47" s="33"/>
      <c r="C47" s="33"/>
      <c r="D47" s="33"/>
      <c r="E47" s="33"/>
      <c r="F47" s="33"/>
      <c r="G47" s="33"/>
      <c r="H47" s="33"/>
      <c r="I47" s="33"/>
      <c r="J47" s="33"/>
    </row>
    <row r="48" ht="14.25" spans="1:10">
      <c r="A48" s="32"/>
      <c r="B48" s="33"/>
      <c r="C48" s="33"/>
      <c r="D48" s="33"/>
      <c r="E48" s="33"/>
      <c r="F48" s="33"/>
      <c r="G48" s="33"/>
      <c r="H48" s="33"/>
      <c r="I48" s="33"/>
      <c r="J48" s="33"/>
    </row>
    <row r="49" ht="16.5" spans="1:10">
      <c r="A49" s="34"/>
      <c r="B49" s="81" t="s">
        <v>163</v>
      </c>
      <c r="C49" s="81"/>
      <c r="D49" s="81"/>
      <c r="E49" s="81"/>
      <c r="F49" s="82"/>
      <c r="G49" s="82"/>
      <c r="H49" s="83" t="s">
        <v>135</v>
      </c>
      <c r="I49" s="83" t="s">
        <v>136</v>
      </c>
      <c r="J49" s="111" t="s">
        <v>137</v>
      </c>
    </row>
    <row r="50" ht="14.25" spans="1:10">
      <c r="A50" s="38"/>
      <c r="B50" s="39">
        <v>2018</v>
      </c>
      <c r="C50" s="39">
        <v>2030</v>
      </c>
      <c r="D50" s="39">
        <v>2035</v>
      </c>
      <c r="E50" s="39">
        <v>2040</v>
      </c>
      <c r="F50" s="40">
        <v>2045</v>
      </c>
      <c r="G50" s="40">
        <v>2050</v>
      </c>
      <c r="H50" s="84"/>
      <c r="I50" s="84"/>
      <c r="J50" s="112"/>
    </row>
    <row r="51" spans="1:10">
      <c r="A51" s="85" t="s">
        <v>148</v>
      </c>
      <c r="B51" s="86">
        <f>B22/B35</f>
        <v>16.1121544362452</v>
      </c>
      <c r="C51" s="86">
        <f t="shared" ref="C51:G51" si="11">C22/C35</f>
        <v>11.5209385576214</v>
      </c>
      <c r="D51" s="86">
        <f t="shared" si="11"/>
        <v>4.19008295114742</v>
      </c>
      <c r="E51" s="86">
        <f t="shared" si="11"/>
        <v>2.17773199872234</v>
      </c>
      <c r="F51" s="86">
        <f t="shared" si="11"/>
        <v>1.24766444202867</v>
      </c>
      <c r="G51" s="86">
        <f t="shared" si="11"/>
        <v>0.51757779487928</v>
      </c>
      <c r="H51" s="87">
        <f>(C51-B51)/B51</f>
        <v>-0.284953566997566</v>
      </c>
      <c r="I51" s="87">
        <f>(E51-B51)/B51</f>
        <v>-0.864839180424971</v>
      </c>
      <c r="J51" s="113">
        <f>(G51-B51)/B51</f>
        <v>-0.96787656195034</v>
      </c>
    </row>
    <row r="52" spans="1:12">
      <c r="A52" s="32" t="s">
        <v>164</v>
      </c>
      <c r="B52" s="88">
        <f>B25/B36</f>
        <v>0.588087171558566</v>
      </c>
      <c r="C52" s="88">
        <f t="shared" ref="C52:G52" si="12">C25/C36</f>
        <v>0.457050090729512</v>
      </c>
      <c r="D52" s="88">
        <f t="shared" si="12"/>
        <v>0.355682008813525</v>
      </c>
      <c r="E52" s="88">
        <f t="shared" si="12"/>
        <v>0.242539972543071</v>
      </c>
      <c r="F52" s="88">
        <f t="shared" si="12"/>
        <v>0.129294977365599</v>
      </c>
      <c r="G52" s="88">
        <f t="shared" si="12"/>
        <v>0.103948645258712</v>
      </c>
      <c r="H52" s="89">
        <f>(C52-B52)/B52</f>
        <v>-0.222819145130774</v>
      </c>
      <c r="I52" s="89">
        <f>(E52-B52)/B52</f>
        <v>-0.587578195422485</v>
      </c>
      <c r="J52" s="89">
        <f>(G52-B52)/B52</f>
        <v>-0.82324279411975</v>
      </c>
      <c r="L52" s="8" t="s">
        <v>165</v>
      </c>
    </row>
    <row r="53" ht="14.25" spans="1:10">
      <c r="A53" s="90" t="s">
        <v>166</v>
      </c>
      <c r="B53" s="91">
        <f>B27/B40</f>
        <v>0.3</v>
      </c>
      <c r="C53" s="91">
        <f t="shared" ref="C53:G53" si="13">C27/C40</f>
        <v>0.216128511799401</v>
      </c>
      <c r="D53" s="91">
        <f t="shared" si="13"/>
        <v>0.193678054242199</v>
      </c>
      <c r="E53" s="91">
        <f t="shared" si="13"/>
        <v>0.166285627627764</v>
      </c>
      <c r="F53" s="91">
        <f t="shared" si="13"/>
        <v>0.145560987178383</v>
      </c>
      <c r="G53" s="91">
        <f t="shared" si="13"/>
        <v>0.0562912799347411</v>
      </c>
      <c r="H53" s="92">
        <f>(C53-B53)/B53</f>
        <v>-0.279571627335328</v>
      </c>
      <c r="I53" s="92">
        <f>(E53-B53)/B53</f>
        <v>-0.445714574574119</v>
      </c>
      <c r="J53" s="114">
        <f>(G53-B53)/B53</f>
        <v>-0.81236240021753</v>
      </c>
    </row>
    <row r="56" spans="2:10">
      <c r="B56" s="93"/>
      <c r="C56" s="93"/>
      <c r="D56" s="93"/>
      <c r="E56" s="93"/>
      <c r="F56" s="93"/>
      <c r="G56" s="93"/>
      <c r="H56" s="93"/>
      <c r="I56" s="93"/>
      <c r="J56" s="93"/>
    </row>
    <row r="58" spans="2:11">
      <c r="B58" s="93"/>
      <c r="C58" s="93"/>
      <c r="D58" s="93"/>
      <c r="E58" s="93"/>
      <c r="F58" s="93"/>
      <c r="G58" s="93"/>
      <c r="H58" s="93"/>
      <c r="I58" s="93"/>
      <c r="J58" s="93"/>
      <c r="K58" s="93"/>
    </row>
  </sheetData>
  <sheetProtection algorithmName="SHA-512" hashValue="nhI1XRrgSiyRoGDU3kb013vxe44g4spMolikiLo2v/x2YZ3V5LtT9KkNvOVFTnU29wmG0A1s9mcF1yb1rjX0YQ==" saltValue="8VBZdOb5G00RwRTTt+n5hA==" spinCount="100000" sheet="1" selectLockedCells="1" objects="1" scenarios="1"/>
  <mergeCells count="16">
    <mergeCell ref="B8:G8"/>
    <mergeCell ref="B20:G20"/>
    <mergeCell ref="B33:G33"/>
    <mergeCell ref="B49:G49"/>
    <mergeCell ref="H8:H9"/>
    <mergeCell ref="H20:H21"/>
    <mergeCell ref="H33:H34"/>
    <mergeCell ref="H49:H50"/>
    <mergeCell ref="I8:I9"/>
    <mergeCell ref="I20:I21"/>
    <mergeCell ref="I33:I34"/>
    <mergeCell ref="I49:I50"/>
    <mergeCell ref="J8:J9"/>
    <mergeCell ref="J20:J21"/>
    <mergeCell ref="J33:J34"/>
    <mergeCell ref="J49:J50"/>
  </mergeCells>
  <pageMargins left="0.7" right="0.7" top="0.75" bottom="0.75" header="0.3" footer="0.3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C3:R7"/>
  <sheetViews>
    <sheetView topLeftCell="B1" workbookViewId="0">
      <selection activeCell="N4" sqref="N4:Q4"/>
    </sheetView>
  </sheetViews>
  <sheetFormatPr defaultColWidth="8.83333333333333" defaultRowHeight="13.5" outlineLevelRow="6"/>
  <cols>
    <col min="3" max="3" width="30.1666666666667" customWidth="1"/>
  </cols>
  <sheetData>
    <row r="3" spans="4:18">
      <c r="D3">
        <v>2016</v>
      </c>
      <c r="E3">
        <v>2017</v>
      </c>
      <c r="F3">
        <v>2018</v>
      </c>
      <c r="G3">
        <v>2019</v>
      </c>
      <c r="H3">
        <v>2020</v>
      </c>
      <c r="I3">
        <v>2021</v>
      </c>
      <c r="J3">
        <v>2022</v>
      </c>
      <c r="K3">
        <v>2023</v>
      </c>
      <c r="L3">
        <v>2024</v>
      </c>
      <c r="M3">
        <v>2025</v>
      </c>
      <c r="N3">
        <v>2026</v>
      </c>
      <c r="O3">
        <v>2027</v>
      </c>
      <c r="P3">
        <v>2028</v>
      </c>
      <c r="Q3">
        <v>2029</v>
      </c>
      <c r="R3">
        <v>2030</v>
      </c>
    </row>
    <row r="4" spans="3:18">
      <c r="C4" t="s">
        <v>167</v>
      </c>
      <c r="D4">
        <v>13</v>
      </c>
      <c r="E4">
        <v>13</v>
      </c>
      <c r="F4">
        <v>13</v>
      </c>
      <c r="G4">
        <v>13</v>
      </c>
      <c r="H4">
        <v>13</v>
      </c>
      <c r="I4">
        <v>13</v>
      </c>
      <c r="J4">
        <v>13</v>
      </c>
      <c r="K4">
        <v>13</v>
      </c>
      <c r="L4">
        <v>13</v>
      </c>
      <c r="M4">
        <v>13</v>
      </c>
      <c r="N4" t="e">
        <v>#N/A</v>
      </c>
      <c r="O4" t="e">
        <v>#N/A</v>
      </c>
      <c r="P4" t="e">
        <v>#N/A</v>
      </c>
      <c r="Q4" t="e">
        <v>#N/A</v>
      </c>
      <c r="R4">
        <v>11</v>
      </c>
    </row>
    <row r="5" spans="3:18">
      <c r="C5" t="s">
        <v>168</v>
      </c>
      <c r="D5" t="e">
        <v>#N/A</v>
      </c>
      <c r="E5" t="e">
        <v>#N/A</v>
      </c>
      <c r="F5" t="e">
        <v>#N/A</v>
      </c>
      <c r="G5" t="e">
        <v>#N/A</v>
      </c>
      <c r="H5" t="e">
        <v>#N/A</v>
      </c>
      <c r="I5" t="e">
        <v>#N/A</v>
      </c>
      <c r="J5" t="e">
        <v>#N/A</v>
      </c>
      <c r="K5" t="e">
        <v>#N/A</v>
      </c>
      <c r="L5" t="e">
        <v>#N/A</v>
      </c>
      <c r="M5">
        <v>13</v>
      </c>
      <c r="N5" t="e">
        <v>#N/A</v>
      </c>
      <c r="O5" t="e">
        <v>#N/A</v>
      </c>
      <c r="P5" t="e">
        <v>#N/A</v>
      </c>
      <c r="Q5" t="e">
        <v>#N/A</v>
      </c>
      <c r="R5" t="e">
        <v>#N/A</v>
      </c>
    </row>
    <row r="6" spans="3:18">
      <c r="C6" t="s">
        <v>169</v>
      </c>
      <c r="D6">
        <v>11</v>
      </c>
      <c r="E6">
        <v>11</v>
      </c>
      <c r="F6">
        <v>11</v>
      </c>
      <c r="G6">
        <v>11</v>
      </c>
      <c r="H6">
        <v>11</v>
      </c>
      <c r="I6">
        <v>11</v>
      </c>
      <c r="J6">
        <v>11</v>
      </c>
      <c r="K6">
        <v>11</v>
      </c>
      <c r="L6">
        <v>11</v>
      </c>
      <c r="M6">
        <v>11</v>
      </c>
      <c r="N6">
        <v>11</v>
      </c>
      <c r="O6">
        <v>11</v>
      </c>
      <c r="P6">
        <v>11</v>
      </c>
      <c r="Q6">
        <v>11</v>
      </c>
      <c r="R6">
        <v>11</v>
      </c>
    </row>
    <row r="7" spans="3:18">
      <c r="C7" t="s">
        <v>170</v>
      </c>
      <c r="D7" t="e">
        <v>#N/A</v>
      </c>
      <c r="E7" t="e">
        <v>#N/A</v>
      </c>
      <c r="F7" t="e">
        <v>#N/A</v>
      </c>
      <c r="G7" t="e">
        <v>#N/A</v>
      </c>
      <c r="H7" t="e">
        <v>#N/A</v>
      </c>
      <c r="I7" t="e">
        <v>#N/A</v>
      </c>
      <c r="J7" t="e">
        <v>#N/A</v>
      </c>
      <c r="K7" t="e">
        <v>#N/A</v>
      </c>
      <c r="L7" t="e">
        <v>#N/A</v>
      </c>
      <c r="M7" t="e">
        <v>#N/A</v>
      </c>
      <c r="N7" t="e">
        <v>#N/A</v>
      </c>
      <c r="O7" t="e">
        <v>#N/A</v>
      </c>
      <c r="P7" t="e">
        <v>#N/A</v>
      </c>
      <c r="Q7" t="e">
        <v>#N/A</v>
      </c>
      <c r="R7">
        <v>11</v>
      </c>
    </row>
  </sheetData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>
    <tabColor theme="9"/>
  </sheetPr>
  <dimension ref="A1:AJ302"/>
  <sheetViews>
    <sheetView topLeftCell="A267" workbookViewId="0">
      <selection activeCell="C204" sqref="C204:AJ301"/>
    </sheetView>
  </sheetViews>
  <sheetFormatPr defaultColWidth="8.83333333333333" defaultRowHeight="13.5"/>
  <cols>
    <col min="1" max="1" width="47.5" customWidth="1"/>
    <col min="2" max="2" width="12" customWidth="1"/>
  </cols>
  <sheetData>
    <row r="1" spans="1:36">
      <c r="A1" t="s">
        <v>106</v>
      </c>
      <c r="B1" t="s">
        <v>171</v>
      </c>
      <c r="C1" t="s">
        <v>172</v>
      </c>
      <c r="D1" t="s">
        <v>173</v>
      </c>
      <c r="E1" t="s">
        <v>174</v>
      </c>
      <c r="F1" t="s">
        <v>175</v>
      </c>
      <c r="G1" t="s">
        <v>176</v>
      </c>
      <c r="H1" t="s">
        <v>177</v>
      </c>
      <c r="I1" t="s">
        <v>54</v>
      </c>
      <c r="J1" t="s">
        <v>178</v>
      </c>
      <c r="K1" t="s">
        <v>179</v>
      </c>
      <c r="L1" t="s">
        <v>180</v>
      </c>
      <c r="M1" t="s">
        <v>181</v>
      </c>
      <c r="N1" t="s">
        <v>182</v>
      </c>
      <c r="O1" t="s">
        <v>183</v>
      </c>
      <c r="P1" t="s">
        <v>184</v>
      </c>
      <c r="Q1" t="s">
        <v>185</v>
      </c>
      <c r="R1" t="s">
        <v>186</v>
      </c>
      <c r="S1" t="s">
        <v>187</v>
      </c>
      <c r="T1" t="s">
        <v>188</v>
      </c>
      <c r="U1" t="s">
        <v>189</v>
      </c>
      <c r="V1" t="s">
        <v>190</v>
      </c>
      <c r="W1" t="s">
        <v>191</v>
      </c>
      <c r="X1" t="s">
        <v>192</v>
      </c>
      <c r="Y1" t="s">
        <v>193</v>
      </c>
      <c r="Z1" t="s">
        <v>194</v>
      </c>
      <c r="AA1" t="s">
        <v>195</v>
      </c>
      <c r="AB1" t="s">
        <v>196</v>
      </c>
      <c r="AC1" t="s">
        <v>197</v>
      </c>
      <c r="AD1" t="s">
        <v>198</v>
      </c>
      <c r="AE1" t="s">
        <v>199</v>
      </c>
      <c r="AF1" t="s">
        <v>200</v>
      </c>
      <c r="AG1" t="s">
        <v>201</v>
      </c>
      <c r="AH1" t="s">
        <v>202</v>
      </c>
      <c r="AI1" t="s">
        <v>203</v>
      </c>
      <c r="AJ1" t="s">
        <v>204</v>
      </c>
    </row>
    <row r="2" spans="1:36">
      <c r="A2" t="s">
        <v>205</v>
      </c>
      <c r="B2" s="4">
        <f>'Sectoral Slopes'!C17</f>
        <v>10.6898938361111</v>
      </c>
      <c r="C2" s="4">
        <f>'Sectoral Slopes'!D17</f>
        <v>10.6898938361111</v>
      </c>
      <c r="D2" s="4">
        <f>'Sectoral Slopes'!E17</f>
        <v>10.6898938361111</v>
      </c>
      <c r="E2" s="4">
        <f>'Sectoral Slopes'!F17</f>
        <v>10.4029710873508</v>
      </c>
      <c r="F2" s="4">
        <f>'Sectoral Slopes'!G17</f>
        <v>9.70931860853106</v>
      </c>
      <c r="G2" s="4">
        <f>'Sectoral Slopes'!H17</f>
        <v>9.91023047214493</v>
      </c>
      <c r="H2" s="4">
        <f>'Sectoral Slopes'!I17</f>
        <v>9.555753284042</v>
      </c>
      <c r="I2" s="4">
        <f>'Sectoral Slopes'!J17</f>
        <v>8.98692934439453</v>
      </c>
      <c r="J2" s="4">
        <f>'Sectoral Slopes'!K17</f>
        <v>8.68792004818036</v>
      </c>
      <c r="K2" s="4">
        <f>'Sectoral Slopes'!L17</f>
        <v>8.36850139210911</v>
      </c>
      <c r="L2" s="4">
        <f>'Sectoral Slopes'!M17</f>
        <v>8.14401359843703</v>
      </c>
      <c r="M2" s="4">
        <f>'Sectoral Slopes'!N17</f>
        <v>8.11926984679687</v>
      </c>
      <c r="N2" s="4">
        <f>'Sectoral Slopes'!O17</f>
        <v>7.7131872084755</v>
      </c>
      <c r="O2" s="4">
        <f>'Sectoral Slopes'!P17</f>
        <v>7.30439733459349</v>
      </c>
      <c r="P2" s="4">
        <f>'Sectoral Slopes'!Q17</f>
        <v>6.95278167949055</v>
      </c>
      <c r="Q2" s="4">
        <f>'Sectoral Slopes'!R17</f>
        <v>5.6703101343909</v>
      </c>
      <c r="R2" s="4">
        <f>'Sectoral Slopes'!S17</f>
        <v>4.05851782936489</v>
      </c>
      <c r="S2" s="4">
        <f>'Sectoral Slopes'!T17</f>
        <v>3.61781471531621</v>
      </c>
      <c r="T2" s="4">
        <f>'Sectoral Slopes'!U17</f>
        <v>2.42041843356906</v>
      </c>
      <c r="U2" s="4">
        <f>'Sectoral Slopes'!V17</f>
        <v>1.60383641760474</v>
      </c>
      <c r="V2" s="4">
        <f>'Sectoral Slopes'!W17</f>
        <v>1.46274931362396</v>
      </c>
      <c r="W2" s="4">
        <f>'Sectoral Slopes'!X17</f>
        <v>1.25832695303967</v>
      </c>
      <c r="X2" s="4">
        <f>'Sectoral Slopes'!Y17</f>
        <v>1.10321399544997</v>
      </c>
      <c r="Y2" s="4">
        <f>'Sectoral Slopes'!Z17</f>
        <v>0.955204316970583</v>
      </c>
      <c r="Z2" s="4">
        <f>'Sectoral Slopes'!AA17</f>
        <v>0.991299044176466</v>
      </c>
      <c r="AA2" s="4">
        <f>'Sectoral Slopes'!AB17</f>
        <v>0.960912029857158</v>
      </c>
      <c r="AB2" s="4">
        <f>'Sectoral Slopes'!AC17</f>
        <v>0.942648824084369</v>
      </c>
      <c r="AC2" s="4">
        <f>'Sectoral Slopes'!AD17</f>
        <v>0.815974874428514</v>
      </c>
      <c r="AD2" s="4">
        <f>'Sectoral Slopes'!AE17</f>
        <v>0.794499385469056</v>
      </c>
      <c r="AE2" s="4">
        <f>'Sectoral Slopes'!AF17</f>
        <v>0.769890990538606</v>
      </c>
      <c r="AF2" s="4">
        <f>'Sectoral Slopes'!AG17</f>
        <v>0.728824061409053</v>
      </c>
      <c r="AG2" s="4">
        <f>'Sectoral Slopes'!AH17</f>
        <v>0.710955116586777</v>
      </c>
      <c r="AH2" s="4">
        <f>'Sectoral Slopes'!AI17</f>
        <v>0.69308617172282</v>
      </c>
      <c r="AI2" s="4">
        <f>'Sectoral Slopes'!AJ17</f>
        <v>0.675217226885267</v>
      </c>
      <c r="AJ2" s="4">
        <f>'Sectoral Slopes'!AK17</f>
        <v>0.657348282961039</v>
      </c>
    </row>
    <row r="3" spans="1:36">
      <c r="A3" t="s">
        <v>206</v>
      </c>
      <c r="B3" s="4">
        <f>'Sectoral Slopes'!C18</f>
        <v>4.84481860719707</v>
      </c>
      <c r="C3" s="4">
        <f>'Sectoral Slopes'!D18</f>
        <v>4.84481860719707</v>
      </c>
      <c r="D3" s="4">
        <f>'Sectoral Slopes'!E18</f>
        <v>4.84481860719707</v>
      </c>
      <c r="E3" s="4">
        <f>'Sectoral Slopes'!F18</f>
        <v>4.84481860719707</v>
      </c>
      <c r="F3" s="4">
        <f>'Sectoral Slopes'!G18</f>
        <v>4.84481860719707</v>
      </c>
      <c r="G3" s="4">
        <f>'Sectoral Slopes'!H18</f>
        <v>4.74088105564824</v>
      </c>
      <c r="H3" s="4">
        <f>'Sectoral Slopes'!I18</f>
        <v>4.79427141120048</v>
      </c>
      <c r="I3" s="4">
        <f>'Sectoral Slopes'!J18</f>
        <v>4.78066367000183</v>
      </c>
      <c r="J3" s="4">
        <f>'Sectoral Slopes'!K18</f>
        <v>4.75249207684862</v>
      </c>
      <c r="K3" s="4">
        <f>'Sectoral Slopes'!L18</f>
        <v>4.73605263302972</v>
      </c>
      <c r="L3" s="4">
        <f>'Sectoral Slopes'!M18</f>
        <v>4.43001325114447</v>
      </c>
      <c r="M3" s="4">
        <f>'Sectoral Slopes'!N18</f>
        <v>4.39036749568958</v>
      </c>
      <c r="N3" s="4">
        <f>'Sectoral Slopes'!O18</f>
        <v>4.36174836769969</v>
      </c>
      <c r="O3" s="4">
        <f>'Sectoral Slopes'!P18</f>
        <v>4.31978865774274</v>
      </c>
      <c r="P3" s="4">
        <f>'Sectoral Slopes'!Q18</f>
        <v>4.1385250146623</v>
      </c>
      <c r="Q3" s="4">
        <f>'Sectoral Slopes'!R18</f>
        <v>3.85972331140748</v>
      </c>
      <c r="R3" s="4">
        <f>'Sectoral Slopes'!S18</f>
        <v>3.36530843034141</v>
      </c>
      <c r="S3" s="4">
        <f>'Sectoral Slopes'!T18</f>
        <v>3.13433792305714</v>
      </c>
      <c r="T3" s="4">
        <f>'Sectoral Slopes'!U18</f>
        <v>2.8717048243038</v>
      </c>
      <c r="U3" s="4">
        <f>'Sectoral Slopes'!V18</f>
        <v>2.21691463338421</v>
      </c>
      <c r="V3" s="4">
        <f>'Sectoral Slopes'!W18</f>
        <v>2.14442660962277</v>
      </c>
      <c r="W3" s="4">
        <f>'Sectoral Slopes'!X18</f>
        <v>1.70442162757412</v>
      </c>
      <c r="X3" s="4">
        <f>'Sectoral Slopes'!Y18</f>
        <v>1.53252411105458</v>
      </c>
      <c r="Y3" s="4">
        <f>'Sectoral Slopes'!Z18</f>
        <v>1.34038805904081</v>
      </c>
      <c r="Z3" s="4">
        <f>'Sectoral Slopes'!AA18</f>
        <v>1.25114187611444</v>
      </c>
      <c r="AA3" s="4">
        <f>'Sectoral Slopes'!AB18</f>
        <v>1.06949463573425</v>
      </c>
      <c r="AB3" s="4">
        <f>'Sectoral Slopes'!AC18</f>
        <v>0.77814278786355</v>
      </c>
      <c r="AC3" s="4">
        <f>'Sectoral Slopes'!AD18</f>
        <v>0.651232453804742</v>
      </c>
      <c r="AD3" s="4">
        <f>'Sectoral Slopes'!AE18</f>
        <v>0.63076714776598</v>
      </c>
      <c r="AE3" s="4">
        <f>'Sectoral Slopes'!AF18</f>
        <v>0.484336013719594</v>
      </c>
      <c r="AF3" s="4">
        <f>'Sectoral Slopes'!AG18</f>
        <v>0.47769982547931</v>
      </c>
      <c r="AG3" s="4">
        <f>'Sectoral Slopes'!AH18</f>
        <v>0.459794848565361</v>
      </c>
      <c r="AH3" s="4">
        <f>'Sectoral Slopes'!AI18</f>
        <v>0.343610585964953</v>
      </c>
      <c r="AI3" s="4">
        <f>'Sectoral Slopes'!AJ18</f>
        <v>0.285834138780572</v>
      </c>
      <c r="AJ3" s="4">
        <f>'Sectoral Slopes'!AK18</f>
        <v>0.267636408002995</v>
      </c>
    </row>
    <row r="4" spans="1:36">
      <c r="A4" t="s">
        <v>207</v>
      </c>
      <c r="B4" s="4">
        <f>'Sectoral Slopes'!C19</f>
        <v>15.5347124433082</v>
      </c>
      <c r="C4" s="4">
        <f>'Sectoral Slopes'!D19</f>
        <v>15.5347124433082</v>
      </c>
      <c r="D4" s="4">
        <f>'Sectoral Slopes'!E19</f>
        <v>15.5347124433082</v>
      </c>
      <c r="E4" s="4">
        <f>'Sectoral Slopes'!F19</f>
        <v>15.2477896945479</v>
      </c>
      <c r="F4" s="4">
        <f>'Sectoral Slopes'!G19</f>
        <v>14.5541372157281</v>
      </c>
      <c r="G4" s="4">
        <f>'Sectoral Slopes'!H19</f>
        <v>14.6511115277932</v>
      </c>
      <c r="H4" s="4">
        <f>'Sectoral Slopes'!I19</f>
        <v>14.3500246952425</v>
      </c>
      <c r="I4" s="4">
        <f>'Sectoral Slopes'!J19</f>
        <v>13.7675930143964</v>
      </c>
      <c r="J4" s="4">
        <f>'Sectoral Slopes'!K19</f>
        <v>13.440412125029</v>
      </c>
      <c r="K4" s="4">
        <f>'Sectoral Slopes'!L19</f>
        <v>13.1045540251388</v>
      </c>
      <c r="L4" s="4">
        <f>'Sectoral Slopes'!M19</f>
        <v>12.5740268495815</v>
      </c>
      <c r="M4" s="4">
        <f>'Sectoral Slopes'!N19</f>
        <v>12.5096373424865</v>
      </c>
      <c r="N4" s="4">
        <f>'Sectoral Slopes'!O19</f>
        <v>12.0749355761752</v>
      </c>
      <c r="O4" s="4">
        <f>'Sectoral Slopes'!P19</f>
        <v>11.6241859923362</v>
      </c>
      <c r="P4" s="4">
        <f>'Sectoral Slopes'!Q19</f>
        <v>11.0913066941528</v>
      </c>
      <c r="Q4" s="4">
        <f>'Sectoral Slopes'!R19</f>
        <v>9.53003344579838</v>
      </c>
      <c r="R4" s="4">
        <f>'Sectoral Slopes'!S19</f>
        <v>7.42382625970631</v>
      </c>
      <c r="S4" s="4">
        <f>'Sectoral Slopes'!T19</f>
        <v>6.75215263837335</v>
      </c>
      <c r="T4" s="4">
        <f>'Sectoral Slopes'!U19</f>
        <v>5.29212325787286</v>
      </c>
      <c r="U4" s="4">
        <f>'Sectoral Slopes'!V19</f>
        <v>3.82075105098896</v>
      </c>
      <c r="V4" s="4">
        <f>'Sectoral Slopes'!W19</f>
        <v>3.60717592324672</v>
      </c>
      <c r="W4" s="4">
        <f>'Sectoral Slopes'!X19</f>
        <v>2.96274858061379</v>
      </c>
      <c r="X4" s="4">
        <f>'Sectoral Slopes'!Y19</f>
        <v>2.63573810650455</v>
      </c>
      <c r="Y4" s="4">
        <f>'Sectoral Slopes'!Z19</f>
        <v>2.29559237601139</v>
      </c>
      <c r="Z4" s="4">
        <f>'Sectoral Slopes'!AA19</f>
        <v>2.24244092029091</v>
      </c>
      <c r="AA4" s="4">
        <f>'Sectoral Slopes'!AB19</f>
        <v>2.03040666559141</v>
      </c>
      <c r="AB4" s="4">
        <f>'Sectoral Slopes'!AC19</f>
        <v>1.72079161194792</v>
      </c>
      <c r="AC4" s="4">
        <f>'Sectoral Slopes'!AD19</f>
        <v>1.46720732823326</v>
      </c>
      <c r="AD4" s="4">
        <f>'Sectoral Slopes'!AE19</f>
        <v>1.42526653323504</v>
      </c>
      <c r="AE4" s="4">
        <f>'Sectoral Slopes'!AF19</f>
        <v>1.2542270042582</v>
      </c>
      <c r="AF4" s="4">
        <f>'Sectoral Slopes'!AG19</f>
        <v>1.20652388688836</v>
      </c>
      <c r="AG4" s="4">
        <f>'Sectoral Slopes'!AH19</f>
        <v>1.17074996515214</v>
      </c>
      <c r="AH4" s="4">
        <f>'Sectoral Slopes'!AI19</f>
        <v>1.03669675768777</v>
      </c>
      <c r="AI4" s="4">
        <f>'Sectoral Slopes'!AJ19</f>
        <v>0.961051365665839</v>
      </c>
      <c r="AJ4" s="4">
        <f>'Sectoral Slopes'!AK19</f>
        <v>0.924984690964034</v>
      </c>
    </row>
    <row r="6" spans="1:36">
      <c r="A6" t="s">
        <v>208</v>
      </c>
      <c r="B6" t="s">
        <v>171</v>
      </c>
      <c r="C6" t="s">
        <v>172</v>
      </c>
      <c r="D6" t="s">
        <v>173</v>
      </c>
      <c r="E6" t="s">
        <v>174</v>
      </c>
      <c r="F6" t="s">
        <v>175</v>
      </c>
      <c r="G6" t="s">
        <v>176</v>
      </c>
      <c r="H6" t="s">
        <v>177</v>
      </c>
      <c r="I6" t="s">
        <v>54</v>
      </c>
      <c r="J6" t="s">
        <v>178</v>
      </c>
      <c r="K6" t="s">
        <v>179</v>
      </c>
      <c r="L6" t="s">
        <v>180</v>
      </c>
      <c r="M6" t="s">
        <v>181</v>
      </c>
      <c r="N6" t="s">
        <v>182</v>
      </c>
      <c r="O6" t="s">
        <v>183</v>
      </c>
      <c r="P6" t="s">
        <v>184</v>
      </c>
      <c r="Q6" t="s">
        <v>185</v>
      </c>
      <c r="R6" t="s">
        <v>186</v>
      </c>
      <c r="S6" t="s">
        <v>187</v>
      </c>
      <c r="T6" t="s">
        <v>188</v>
      </c>
      <c r="U6" t="s">
        <v>189</v>
      </c>
      <c r="V6" t="s">
        <v>190</v>
      </c>
      <c r="W6" t="s">
        <v>191</v>
      </c>
      <c r="X6" t="s">
        <v>192</v>
      </c>
      <c r="Y6" t="s">
        <v>193</v>
      </c>
      <c r="Z6" t="s">
        <v>194</v>
      </c>
      <c r="AA6" t="s">
        <v>195</v>
      </c>
      <c r="AB6" t="s">
        <v>196</v>
      </c>
      <c r="AC6" t="s">
        <v>197</v>
      </c>
      <c r="AD6" t="s">
        <v>198</v>
      </c>
      <c r="AE6" t="s">
        <v>199</v>
      </c>
      <c r="AF6" t="s">
        <v>200</v>
      </c>
      <c r="AG6" t="s">
        <v>201</v>
      </c>
      <c r="AH6" t="s">
        <v>202</v>
      </c>
      <c r="AI6" t="s">
        <v>203</v>
      </c>
      <c r="AJ6" t="s">
        <v>204</v>
      </c>
    </row>
    <row r="7" spans="1:36">
      <c r="A7" t="str">
        <f>"electricity_archetype_"&amp;TEXT(ROUND(Table2[[#This Row],[2016]],1),"0.0")</f>
        <v>electricity_archetype_20.0</v>
      </c>
      <c r="B7" s="5">
        <v>20</v>
      </c>
      <c r="C7" s="5">
        <f>MROUND((($B7-$AJ$2)*((C$2-$AJ$2)/($B$2-$AJ$2)))+$AJ$2,0.01)</f>
        <v>20</v>
      </c>
      <c r="D7" s="5">
        <f t="shared" ref="D7:AJ14" si="0">MROUND((($B7-$AJ$2)*((D$2-$AJ$2)/($B$2-$AJ$2)))+$AJ$2,0.01)</f>
        <v>20</v>
      </c>
      <c r="E7" s="5">
        <f t="shared" si="0"/>
        <v>19.45</v>
      </c>
      <c r="F7" s="5">
        <f t="shared" si="0"/>
        <v>18.11</v>
      </c>
      <c r="G7" s="5">
        <f t="shared" si="0"/>
        <v>18.5</v>
      </c>
      <c r="H7" s="5">
        <f t="shared" si="0"/>
        <v>17.81</v>
      </c>
      <c r="I7" s="5">
        <f t="shared" si="0"/>
        <v>16.72</v>
      </c>
      <c r="J7" s="5">
        <f t="shared" si="0"/>
        <v>16.14</v>
      </c>
      <c r="K7" s="5">
        <f t="shared" si="0"/>
        <v>15.52</v>
      </c>
      <c r="L7" s="5">
        <f t="shared" si="0"/>
        <v>15.09</v>
      </c>
      <c r="M7" s="5">
        <f t="shared" si="0"/>
        <v>15.04</v>
      </c>
      <c r="N7" s="5">
        <f t="shared" si="0"/>
        <v>14.26</v>
      </c>
      <c r="O7" s="5">
        <f t="shared" si="0"/>
        <v>13.47</v>
      </c>
      <c r="P7" s="5">
        <f t="shared" si="0"/>
        <v>12.79</v>
      </c>
      <c r="Q7" s="5">
        <f t="shared" si="0"/>
        <v>10.32</v>
      </c>
      <c r="R7" s="5">
        <f t="shared" si="0"/>
        <v>7.21</v>
      </c>
      <c r="S7" s="5">
        <f t="shared" si="0"/>
        <v>6.37</v>
      </c>
      <c r="T7" s="5">
        <f t="shared" si="0"/>
        <v>4.06</v>
      </c>
      <c r="U7" s="5">
        <f t="shared" si="0"/>
        <v>2.48</v>
      </c>
      <c r="V7" s="5">
        <f t="shared" si="0"/>
        <v>2.21</v>
      </c>
      <c r="W7" s="5">
        <f t="shared" si="0"/>
        <v>1.82</v>
      </c>
      <c r="X7" s="5">
        <f t="shared" si="0"/>
        <v>1.52</v>
      </c>
      <c r="Y7" s="5">
        <f t="shared" si="0"/>
        <v>1.23</v>
      </c>
      <c r="Z7" s="5">
        <f t="shared" si="0"/>
        <v>1.3</v>
      </c>
      <c r="AA7" s="5">
        <f t="shared" si="0"/>
        <v>1.24</v>
      </c>
      <c r="AB7" s="5">
        <f t="shared" si="0"/>
        <v>1.21</v>
      </c>
      <c r="AC7" s="5">
        <f t="shared" si="0"/>
        <v>0.96</v>
      </c>
      <c r="AD7" s="5">
        <f t="shared" si="0"/>
        <v>0.92</v>
      </c>
      <c r="AE7" s="5">
        <f t="shared" si="0"/>
        <v>0.87</v>
      </c>
      <c r="AF7" s="5">
        <f t="shared" si="0"/>
        <v>0.8</v>
      </c>
      <c r="AG7" s="5">
        <f t="shared" si="0"/>
        <v>0.76</v>
      </c>
      <c r="AH7" s="5">
        <f t="shared" si="0"/>
        <v>0.73</v>
      </c>
      <c r="AI7" s="5">
        <f t="shared" si="0"/>
        <v>0.69</v>
      </c>
      <c r="AJ7" s="5">
        <f t="shared" si="0"/>
        <v>0.66</v>
      </c>
    </row>
    <row r="8" spans="1:36">
      <c r="A8" t="str">
        <f>"electricity_archetype_"&amp;TEXT(ROUND(Table2[[#This Row],[2016]],1),"0.0")</f>
        <v>electricity_archetype_19.9</v>
      </c>
      <c r="B8" s="5">
        <f>MROUND(B7-0.1,0.1)</f>
        <v>19.9</v>
      </c>
      <c r="C8" s="5">
        <f t="shared" ref="C8:R30" si="1">MROUND((($B8-$AJ$2)*((C$2-$AJ$2)/($B$2-$AJ$2)))+$AJ$2,0.01)</f>
        <v>19.9</v>
      </c>
      <c r="D8" s="5">
        <f t="shared" si="0"/>
        <v>19.9</v>
      </c>
      <c r="E8" s="5">
        <f t="shared" si="0"/>
        <v>19.35</v>
      </c>
      <c r="F8" s="5">
        <f t="shared" si="0"/>
        <v>18.02</v>
      </c>
      <c r="G8" s="5">
        <f t="shared" si="0"/>
        <v>18.4</v>
      </c>
      <c r="H8" s="5">
        <f t="shared" si="0"/>
        <v>17.72</v>
      </c>
      <c r="I8" s="5">
        <f t="shared" si="0"/>
        <v>16.63</v>
      </c>
      <c r="J8" s="5">
        <f t="shared" si="0"/>
        <v>16.06</v>
      </c>
      <c r="K8" s="5">
        <f t="shared" si="0"/>
        <v>15.45</v>
      </c>
      <c r="L8" s="5">
        <f t="shared" si="0"/>
        <v>15.02</v>
      </c>
      <c r="M8" s="5">
        <f t="shared" si="0"/>
        <v>14.97</v>
      </c>
      <c r="N8" s="5">
        <f t="shared" si="0"/>
        <v>14.19</v>
      </c>
      <c r="O8" s="5">
        <f t="shared" si="0"/>
        <v>13.41</v>
      </c>
      <c r="P8" s="5">
        <f t="shared" si="0"/>
        <v>12.73</v>
      </c>
      <c r="Q8" s="5">
        <f t="shared" si="0"/>
        <v>10.27</v>
      </c>
      <c r="R8" s="5">
        <f t="shared" si="0"/>
        <v>7.18</v>
      </c>
      <c r="S8" s="5">
        <f t="shared" si="0"/>
        <v>6.34</v>
      </c>
      <c r="T8" s="5">
        <f t="shared" si="0"/>
        <v>4.04</v>
      </c>
      <c r="U8" s="5">
        <f t="shared" si="0"/>
        <v>2.47</v>
      </c>
      <c r="V8" s="5">
        <f t="shared" si="0"/>
        <v>2.2</v>
      </c>
      <c r="W8" s="5">
        <f t="shared" si="0"/>
        <v>1.81</v>
      </c>
      <c r="X8" s="5">
        <f t="shared" si="0"/>
        <v>1.51</v>
      </c>
      <c r="Y8" s="5">
        <f t="shared" si="0"/>
        <v>1.23</v>
      </c>
      <c r="Z8" s="5">
        <f t="shared" si="0"/>
        <v>1.3</v>
      </c>
      <c r="AA8" s="5">
        <f t="shared" si="0"/>
        <v>1.24</v>
      </c>
      <c r="AB8" s="5">
        <f t="shared" si="0"/>
        <v>1.2</v>
      </c>
      <c r="AC8" s="5">
        <f t="shared" si="0"/>
        <v>0.96</v>
      </c>
      <c r="AD8" s="5">
        <f t="shared" si="0"/>
        <v>0.92</v>
      </c>
      <c r="AE8" s="5">
        <f t="shared" si="0"/>
        <v>0.87</v>
      </c>
      <c r="AF8" s="5">
        <f t="shared" si="0"/>
        <v>0.79</v>
      </c>
      <c r="AG8" s="5">
        <f t="shared" si="0"/>
        <v>0.76</v>
      </c>
      <c r="AH8" s="5">
        <f t="shared" si="0"/>
        <v>0.73</v>
      </c>
      <c r="AI8" s="5">
        <f t="shared" si="0"/>
        <v>0.69</v>
      </c>
      <c r="AJ8" s="5">
        <f t="shared" si="0"/>
        <v>0.66</v>
      </c>
    </row>
    <row r="9" spans="1:36">
      <c r="A9" t="str">
        <f>"electricity_archetype_"&amp;TEXT(ROUND(Table2[[#This Row],[2016]],1),"0.0")</f>
        <v>electricity_archetype_19.8</v>
      </c>
      <c r="B9" s="5">
        <f t="shared" ref="B9:B72" si="2">MROUND(B8-0.1,0.1)</f>
        <v>19.8</v>
      </c>
      <c r="C9" s="5">
        <f t="shared" si="1"/>
        <v>19.8</v>
      </c>
      <c r="D9" s="5">
        <f t="shared" si="0"/>
        <v>19.8</v>
      </c>
      <c r="E9" s="5">
        <f t="shared" si="0"/>
        <v>19.25</v>
      </c>
      <c r="F9" s="5">
        <f t="shared" si="0"/>
        <v>17.93</v>
      </c>
      <c r="G9" s="5">
        <f t="shared" si="0"/>
        <v>18.31</v>
      </c>
      <c r="H9" s="5">
        <f t="shared" si="0"/>
        <v>17.64</v>
      </c>
      <c r="I9" s="5">
        <f t="shared" si="0"/>
        <v>16.55</v>
      </c>
      <c r="J9" s="5">
        <f t="shared" si="0"/>
        <v>15.98</v>
      </c>
      <c r="K9" s="5">
        <f t="shared" si="0"/>
        <v>15.37</v>
      </c>
      <c r="L9" s="5">
        <f t="shared" si="0"/>
        <v>14.94</v>
      </c>
      <c r="M9" s="5">
        <f t="shared" si="0"/>
        <v>14.9</v>
      </c>
      <c r="N9" s="5">
        <f t="shared" si="0"/>
        <v>14.12</v>
      </c>
      <c r="O9" s="5">
        <f t="shared" si="0"/>
        <v>13.34</v>
      </c>
      <c r="P9" s="5">
        <f t="shared" si="0"/>
        <v>12.67</v>
      </c>
      <c r="Q9" s="5">
        <f t="shared" si="0"/>
        <v>10.22</v>
      </c>
      <c r="R9" s="5">
        <f t="shared" si="0"/>
        <v>7.15</v>
      </c>
      <c r="S9" s="5">
        <f t="shared" si="0"/>
        <v>6.31</v>
      </c>
      <c r="T9" s="5">
        <f t="shared" si="0"/>
        <v>4.02</v>
      </c>
      <c r="U9" s="5">
        <f t="shared" si="0"/>
        <v>2.46</v>
      </c>
      <c r="V9" s="5">
        <f t="shared" si="0"/>
        <v>2.19</v>
      </c>
      <c r="W9" s="5">
        <f t="shared" si="0"/>
        <v>1.8</v>
      </c>
      <c r="X9" s="5">
        <f t="shared" si="0"/>
        <v>1.51</v>
      </c>
      <c r="Y9" s="5">
        <f t="shared" si="0"/>
        <v>1.23</v>
      </c>
      <c r="Z9" s="5">
        <f t="shared" si="0"/>
        <v>1.29</v>
      </c>
      <c r="AA9" s="5">
        <f t="shared" si="0"/>
        <v>1.24</v>
      </c>
      <c r="AB9" s="5">
        <f t="shared" si="0"/>
        <v>1.2</v>
      </c>
      <c r="AC9" s="5">
        <f t="shared" si="0"/>
        <v>0.96</v>
      </c>
      <c r="AD9" s="5">
        <f t="shared" si="0"/>
        <v>0.92</v>
      </c>
      <c r="AE9" s="5">
        <f t="shared" si="0"/>
        <v>0.87</v>
      </c>
      <c r="AF9" s="5">
        <f t="shared" si="0"/>
        <v>0.79</v>
      </c>
      <c r="AG9" s="5">
        <f t="shared" si="0"/>
        <v>0.76</v>
      </c>
      <c r="AH9" s="5">
        <f t="shared" si="0"/>
        <v>0.73</v>
      </c>
      <c r="AI9" s="5">
        <f t="shared" si="0"/>
        <v>0.69</v>
      </c>
      <c r="AJ9" s="5">
        <f t="shared" si="0"/>
        <v>0.66</v>
      </c>
    </row>
    <row r="10" spans="1:36">
      <c r="A10" t="str">
        <f>"electricity_archetype_"&amp;TEXT(ROUND(Table2[[#This Row],[2016]],1),"0.0")</f>
        <v>electricity_archetype_19.7</v>
      </c>
      <c r="B10" s="5">
        <f t="shared" si="2"/>
        <v>19.7</v>
      </c>
      <c r="C10" s="5">
        <f t="shared" si="1"/>
        <v>19.7</v>
      </c>
      <c r="D10" s="5">
        <f t="shared" si="0"/>
        <v>19.7</v>
      </c>
      <c r="E10" s="5">
        <f t="shared" si="0"/>
        <v>19.16</v>
      </c>
      <c r="F10" s="5">
        <f t="shared" si="0"/>
        <v>17.84</v>
      </c>
      <c r="G10" s="5">
        <f t="shared" si="0"/>
        <v>18.22</v>
      </c>
      <c r="H10" s="5">
        <f t="shared" si="0"/>
        <v>17.55</v>
      </c>
      <c r="I10" s="5">
        <f t="shared" si="0"/>
        <v>16.47</v>
      </c>
      <c r="J10" s="5">
        <f t="shared" si="0"/>
        <v>15.9</v>
      </c>
      <c r="K10" s="5">
        <f t="shared" si="0"/>
        <v>15.29</v>
      </c>
      <c r="L10" s="5">
        <f t="shared" si="0"/>
        <v>14.87</v>
      </c>
      <c r="M10" s="5">
        <f t="shared" si="0"/>
        <v>14.82</v>
      </c>
      <c r="N10" s="5">
        <f t="shared" si="0"/>
        <v>14.05</v>
      </c>
      <c r="O10" s="5">
        <f t="shared" si="0"/>
        <v>13.27</v>
      </c>
      <c r="P10" s="5">
        <f t="shared" si="0"/>
        <v>12.61</v>
      </c>
      <c r="Q10" s="5">
        <f t="shared" si="0"/>
        <v>10.17</v>
      </c>
      <c r="R10" s="5">
        <f t="shared" si="0"/>
        <v>7.11</v>
      </c>
      <c r="S10" s="5">
        <f t="shared" si="0"/>
        <v>6.28</v>
      </c>
      <c r="T10" s="5">
        <f t="shared" si="0"/>
        <v>4</v>
      </c>
      <c r="U10" s="5">
        <f t="shared" si="0"/>
        <v>2.45</v>
      </c>
      <c r="V10" s="5">
        <f t="shared" si="0"/>
        <v>2.19</v>
      </c>
      <c r="W10" s="5">
        <f t="shared" si="0"/>
        <v>1.8</v>
      </c>
      <c r="X10" s="5">
        <f t="shared" si="0"/>
        <v>1.5</v>
      </c>
      <c r="Y10" s="5">
        <f t="shared" si="0"/>
        <v>1.22</v>
      </c>
      <c r="Z10" s="5">
        <f t="shared" si="0"/>
        <v>1.29</v>
      </c>
      <c r="AA10" s="5">
        <f t="shared" si="0"/>
        <v>1.23</v>
      </c>
      <c r="AB10" s="5">
        <f t="shared" si="0"/>
        <v>1.2</v>
      </c>
      <c r="AC10" s="5">
        <f t="shared" si="0"/>
        <v>0.96</v>
      </c>
      <c r="AD10" s="5">
        <f t="shared" si="0"/>
        <v>0.92</v>
      </c>
      <c r="AE10" s="5">
        <f t="shared" si="0"/>
        <v>0.87</v>
      </c>
      <c r="AF10" s="5">
        <f t="shared" si="0"/>
        <v>0.79</v>
      </c>
      <c r="AG10" s="5">
        <f t="shared" si="0"/>
        <v>0.76</v>
      </c>
      <c r="AH10" s="5">
        <f t="shared" si="0"/>
        <v>0.73</v>
      </c>
      <c r="AI10" s="5">
        <f t="shared" si="0"/>
        <v>0.69</v>
      </c>
      <c r="AJ10" s="5">
        <f t="shared" si="0"/>
        <v>0.66</v>
      </c>
    </row>
    <row r="11" spans="1:36">
      <c r="A11" t="str">
        <f>"electricity_archetype_"&amp;TEXT(ROUND(Table2[[#This Row],[2016]],1),"0.0")</f>
        <v>electricity_archetype_19.6</v>
      </c>
      <c r="B11" s="5">
        <f t="shared" si="2"/>
        <v>19.6</v>
      </c>
      <c r="C11" s="5">
        <f t="shared" si="1"/>
        <v>19.6</v>
      </c>
      <c r="D11" s="5">
        <f t="shared" si="0"/>
        <v>19.6</v>
      </c>
      <c r="E11" s="5">
        <f t="shared" si="0"/>
        <v>19.06</v>
      </c>
      <c r="F11" s="5">
        <f t="shared" si="0"/>
        <v>17.75</v>
      </c>
      <c r="G11" s="5">
        <f t="shared" si="0"/>
        <v>18.13</v>
      </c>
      <c r="H11" s="5">
        <f t="shared" si="0"/>
        <v>17.46</v>
      </c>
      <c r="I11" s="5">
        <f t="shared" si="0"/>
        <v>16.38</v>
      </c>
      <c r="J11" s="5">
        <f t="shared" si="0"/>
        <v>15.82</v>
      </c>
      <c r="K11" s="5">
        <f t="shared" si="0"/>
        <v>15.22</v>
      </c>
      <c r="L11" s="5">
        <f t="shared" si="0"/>
        <v>14.79</v>
      </c>
      <c r="M11" s="5">
        <f t="shared" si="0"/>
        <v>14.75</v>
      </c>
      <c r="N11" s="5">
        <f t="shared" si="0"/>
        <v>13.98</v>
      </c>
      <c r="O11" s="5">
        <f t="shared" si="0"/>
        <v>13.21</v>
      </c>
      <c r="P11" s="5">
        <f t="shared" si="0"/>
        <v>12.54</v>
      </c>
      <c r="Q11" s="5">
        <f t="shared" si="0"/>
        <v>10.12</v>
      </c>
      <c r="R11" s="5">
        <f t="shared" si="0"/>
        <v>7.08</v>
      </c>
      <c r="S11" s="5">
        <f t="shared" si="0"/>
        <v>6.25</v>
      </c>
      <c r="T11" s="5">
        <f t="shared" si="0"/>
        <v>3.99</v>
      </c>
      <c r="U11" s="5">
        <f t="shared" si="0"/>
        <v>2.44</v>
      </c>
      <c r="V11" s="5">
        <f t="shared" si="0"/>
        <v>2.18</v>
      </c>
      <c r="W11" s="5">
        <f t="shared" si="0"/>
        <v>1.79</v>
      </c>
      <c r="X11" s="5">
        <f t="shared" si="0"/>
        <v>1.5</v>
      </c>
      <c r="Y11" s="5">
        <f t="shared" si="0"/>
        <v>1.22</v>
      </c>
      <c r="Z11" s="5">
        <f t="shared" si="0"/>
        <v>1.29</v>
      </c>
      <c r="AA11" s="5">
        <f t="shared" si="0"/>
        <v>1.23</v>
      </c>
      <c r="AB11" s="5">
        <f t="shared" si="0"/>
        <v>1.2</v>
      </c>
      <c r="AC11" s="5">
        <f t="shared" si="0"/>
        <v>0.96</v>
      </c>
      <c r="AD11" s="5">
        <f t="shared" si="0"/>
        <v>0.92</v>
      </c>
      <c r="AE11" s="5">
        <f t="shared" si="0"/>
        <v>0.87</v>
      </c>
      <c r="AF11" s="5">
        <f t="shared" si="0"/>
        <v>0.79</v>
      </c>
      <c r="AG11" s="5">
        <f t="shared" si="0"/>
        <v>0.76</v>
      </c>
      <c r="AH11" s="5">
        <f t="shared" si="0"/>
        <v>0.72</v>
      </c>
      <c r="AI11" s="5">
        <f t="shared" si="0"/>
        <v>0.69</v>
      </c>
      <c r="AJ11" s="5">
        <f t="shared" si="0"/>
        <v>0.66</v>
      </c>
    </row>
    <row r="12" spans="1:36">
      <c r="A12" t="str">
        <f>"electricity_archetype_"&amp;TEXT(ROUND(Table2[[#This Row],[2016]],1),"0.0")</f>
        <v>electricity_archetype_19.5</v>
      </c>
      <c r="B12" s="5">
        <f t="shared" si="2"/>
        <v>19.5</v>
      </c>
      <c r="C12" s="5">
        <f t="shared" si="1"/>
        <v>19.5</v>
      </c>
      <c r="D12" s="5">
        <f t="shared" si="0"/>
        <v>19.5</v>
      </c>
      <c r="E12" s="5">
        <f t="shared" si="0"/>
        <v>18.96</v>
      </c>
      <c r="F12" s="5">
        <f t="shared" si="0"/>
        <v>17.66</v>
      </c>
      <c r="G12" s="5">
        <f t="shared" si="0"/>
        <v>18.04</v>
      </c>
      <c r="H12" s="5">
        <f t="shared" si="0"/>
        <v>17.37</v>
      </c>
      <c r="I12" s="5">
        <f t="shared" si="0"/>
        <v>16.3</v>
      </c>
      <c r="J12" s="5">
        <f t="shared" si="0"/>
        <v>15.74</v>
      </c>
      <c r="K12" s="5">
        <f t="shared" si="0"/>
        <v>15.14</v>
      </c>
      <c r="L12" s="5">
        <f t="shared" si="0"/>
        <v>14.72</v>
      </c>
      <c r="M12" s="5">
        <f t="shared" si="0"/>
        <v>14.67</v>
      </c>
      <c r="N12" s="5">
        <f t="shared" si="0"/>
        <v>13.91</v>
      </c>
      <c r="O12" s="5">
        <f t="shared" si="0"/>
        <v>13.14</v>
      </c>
      <c r="P12" s="5">
        <f t="shared" si="0"/>
        <v>12.48</v>
      </c>
      <c r="Q12" s="5">
        <f t="shared" si="0"/>
        <v>10.07</v>
      </c>
      <c r="R12" s="5">
        <f t="shared" si="0"/>
        <v>7.05</v>
      </c>
      <c r="S12" s="5">
        <f t="shared" si="0"/>
        <v>6.22</v>
      </c>
      <c r="T12" s="5">
        <f t="shared" si="0"/>
        <v>3.97</v>
      </c>
      <c r="U12" s="5">
        <f t="shared" si="0"/>
        <v>2.43</v>
      </c>
      <c r="V12" s="5">
        <f t="shared" si="0"/>
        <v>2.17</v>
      </c>
      <c r="W12" s="5">
        <f t="shared" si="0"/>
        <v>1.79</v>
      </c>
      <c r="X12" s="5">
        <f t="shared" si="0"/>
        <v>1.49</v>
      </c>
      <c r="Y12" s="5">
        <f t="shared" si="0"/>
        <v>1.22</v>
      </c>
      <c r="Z12" s="5">
        <f t="shared" si="0"/>
        <v>1.28</v>
      </c>
      <c r="AA12" s="5">
        <f t="shared" si="0"/>
        <v>1.23</v>
      </c>
      <c r="AB12" s="5">
        <f t="shared" si="0"/>
        <v>1.19</v>
      </c>
      <c r="AC12" s="5">
        <f t="shared" si="0"/>
        <v>0.96</v>
      </c>
      <c r="AD12" s="5">
        <f t="shared" si="0"/>
        <v>0.91</v>
      </c>
      <c r="AE12" s="5">
        <f t="shared" si="0"/>
        <v>0.87</v>
      </c>
      <c r="AF12" s="5">
        <f t="shared" si="0"/>
        <v>0.79</v>
      </c>
      <c r="AG12" s="5">
        <f t="shared" si="0"/>
        <v>0.76</v>
      </c>
      <c r="AH12" s="5">
        <f t="shared" si="0"/>
        <v>0.72</v>
      </c>
      <c r="AI12" s="5">
        <f t="shared" si="0"/>
        <v>0.69</v>
      </c>
      <c r="AJ12" s="5">
        <f t="shared" si="0"/>
        <v>0.66</v>
      </c>
    </row>
    <row r="13" spans="1:36">
      <c r="A13" t="str">
        <f>"electricity_archetype_"&amp;TEXT(ROUND(Table2[[#This Row],[2016]],1),"0.0")</f>
        <v>electricity_archetype_19.4</v>
      </c>
      <c r="B13" s="5">
        <f t="shared" si="2"/>
        <v>19.4</v>
      </c>
      <c r="C13" s="5">
        <f t="shared" si="1"/>
        <v>19.4</v>
      </c>
      <c r="D13" s="5">
        <f t="shared" si="0"/>
        <v>19.4</v>
      </c>
      <c r="E13" s="5">
        <f t="shared" si="0"/>
        <v>18.86</v>
      </c>
      <c r="F13" s="5">
        <f t="shared" si="0"/>
        <v>17.57</v>
      </c>
      <c r="G13" s="5">
        <f t="shared" si="0"/>
        <v>17.94</v>
      </c>
      <c r="H13" s="5">
        <f t="shared" si="0"/>
        <v>17.28</v>
      </c>
      <c r="I13" s="5">
        <f t="shared" si="0"/>
        <v>16.22</v>
      </c>
      <c r="J13" s="5">
        <f t="shared" si="0"/>
        <v>15.66</v>
      </c>
      <c r="K13" s="5">
        <f t="shared" si="0"/>
        <v>15.06</v>
      </c>
      <c r="L13" s="5">
        <f t="shared" si="0"/>
        <v>14.64</v>
      </c>
      <c r="M13" s="5">
        <f t="shared" si="0"/>
        <v>14.6</v>
      </c>
      <c r="N13" s="5">
        <f t="shared" si="0"/>
        <v>13.84</v>
      </c>
      <c r="O13" s="5">
        <f t="shared" si="0"/>
        <v>13.08</v>
      </c>
      <c r="P13" s="5">
        <f t="shared" si="0"/>
        <v>12.42</v>
      </c>
      <c r="Q13" s="5">
        <f t="shared" si="0"/>
        <v>10.02</v>
      </c>
      <c r="R13" s="5">
        <f t="shared" si="0"/>
        <v>7.01</v>
      </c>
      <c r="S13" s="5">
        <f t="shared" si="0"/>
        <v>6.19</v>
      </c>
      <c r="T13" s="5">
        <f t="shared" si="0"/>
        <v>3.95</v>
      </c>
      <c r="U13" s="5">
        <f t="shared" si="0"/>
        <v>2.43</v>
      </c>
      <c r="V13" s="5">
        <f t="shared" si="0"/>
        <v>2.16</v>
      </c>
      <c r="W13" s="5">
        <f t="shared" si="0"/>
        <v>1.78</v>
      </c>
      <c r="X13" s="5">
        <f t="shared" si="0"/>
        <v>1.49</v>
      </c>
      <c r="Y13" s="5">
        <f t="shared" si="0"/>
        <v>1.21</v>
      </c>
      <c r="Z13" s="5">
        <f t="shared" si="0"/>
        <v>1.28</v>
      </c>
      <c r="AA13" s="5">
        <f t="shared" si="0"/>
        <v>1.22</v>
      </c>
      <c r="AB13" s="5">
        <f t="shared" si="0"/>
        <v>1.19</v>
      </c>
      <c r="AC13" s="5">
        <f t="shared" si="0"/>
        <v>0.95</v>
      </c>
      <c r="AD13" s="5">
        <f t="shared" si="0"/>
        <v>0.91</v>
      </c>
      <c r="AE13" s="5">
        <f t="shared" si="0"/>
        <v>0.87</v>
      </c>
      <c r="AF13" s="5">
        <f t="shared" si="0"/>
        <v>0.79</v>
      </c>
      <c r="AG13" s="5">
        <f t="shared" si="0"/>
        <v>0.76</v>
      </c>
      <c r="AH13" s="5">
        <f t="shared" si="0"/>
        <v>0.72</v>
      </c>
      <c r="AI13" s="5">
        <f t="shared" si="0"/>
        <v>0.69</v>
      </c>
      <c r="AJ13" s="5">
        <f t="shared" si="0"/>
        <v>0.66</v>
      </c>
    </row>
    <row r="14" spans="1:36">
      <c r="A14" t="str">
        <f>"electricity_archetype_"&amp;TEXT(ROUND(Table2[[#This Row],[2016]],1),"0.0")</f>
        <v>electricity_archetype_19.3</v>
      </c>
      <c r="B14" s="5">
        <f t="shared" si="2"/>
        <v>19.3</v>
      </c>
      <c r="C14" s="5">
        <f t="shared" si="1"/>
        <v>19.3</v>
      </c>
      <c r="D14" s="5">
        <f t="shared" si="0"/>
        <v>19.3</v>
      </c>
      <c r="E14" s="5">
        <f t="shared" si="0"/>
        <v>18.77</v>
      </c>
      <c r="F14" s="5">
        <f t="shared" si="0"/>
        <v>17.48</v>
      </c>
      <c r="G14" s="5">
        <f t="shared" si="0"/>
        <v>17.85</v>
      </c>
      <c r="H14" s="5">
        <f t="shared" si="0"/>
        <v>17.19</v>
      </c>
      <c r="I14" s="5">
        <f t="shared" si="0"/>
        <v>16.14</v>
      </c>
      <c r="J14" s="5">
        <f t="shared" si="0"/>
        <v>15.58</v>
      </c>
      <c r="K14" s="5">
        <f t="shared" si="0"/>
        <v>14.99</v>
      </c>
      <c r="L14" s="5">
        <f t="shared" si="0"/>
        <v>14.57</v>
      </c>
      <c r="M14" s="5">
        <f t="shared" si="0"/>
        <v>14.52</v>
      </c>
      <c r="N14" s="5">
        <f t="shared" si="0"/>
        <v>13.77</v>
      </c>
      <c r="O14" s="5">
        <f t="shared" si="0"/>
        <v>13.01</v>
      </c>
      <c r="P14" s="5">
        <f t="shared" si="0"/>
        <v>12.36</v>
      </c>
      <c r="Q14" s="5">
        <f t="shared" si="0"/>
        <v>9.97</v>
      </c>
      <c r="R14" s="5">
        <f t="shared" si="0"/>
        <v>6.98</v>
      </c>
      <c r="S14" s="5">
        <f t="shared" si="0"/>
        <v>6.16</v>
      </c>
      <c r="T14" s="5">
        <f t="shared" si="0"/>
        <v>3.93</v>
      </c>
      <c r="U14" s="5">
        <f t="shared" si="0"/>
        <v>2.42</v>
      </c>
      <c r="V14" s="5">
        <f t="shared" si="0"/>
        <v>2.15</v>
      </c>
      <c r="W14" s="5">
        <f t="shared" si="0"/>
        <v>1.77</v>
      </c>
      <c r="X14" s="5">
        <f t="shared" si="0"/>
        <v>1.49</v>
      </c>
      <c r="Y14" s="5">
        <f t="shared" si="0"/>
        <v>1.21</v>
      </c>
      <c r="Z14" s="5">
        <f t="shared" si="0"/>
        <v>1.28</v>
      </c>
      <c r="AA14" s="5">
        <f t="shared" si="0"/>
        <v>1.22</v>
      </c>
      <c r="AB14" s="5">
        <f t="shared" ref="AB14:AJ30" si="3">MROUND((($B14-$AJ$2)*((AB$2-$AJ$2)/($B$2-$AJ$2)))+$AJ$2,0.01)</f>
        <v>1.19</v>
      </c>
      <c r="AC14" s="5">
        <f t="shared" si="3"/>
        <v>0.95</v>
      </c>
      <c r="AD14" s="5">
        <f t="shared" si="3"/>
        <v>0.91</v>
      </c>
      <c r="AE14" s="5">
        <f t="shared" si="3"/>
        <v>0.87</v>
      </c>
      <c r="AF14" s="5">
        <f t="shared" si="3"/>
        <v>0.79</v>
      </c>
      <c r="AG14" s="5">
        <f t="shared" si="3"/>
        <v>0.76</v>
      </c>
      <c r="AH14" s="5">
        <f t="shared" si="3"/>
        <v>0.72</v>
      </c>
      <c r="AI14" s="5">
        <f t="shared" si="3"/>
        <v>0.69</v>
      </c>
      <c r="AJ14" s="5">
        <f t="shared" si="3"/>
        <v>0.66</v>
      </c>
    </row>
    <row r="15" spans="1:36">
      <c r="A15" t="str">
        <f>"electricity_archetype_"&amp;TEXT(ROUND(Table2[[#This Row],[2016]],1),"0.0")</f>
        <v>electricity_archetype_19.2</v>
      </c>
      <c r="B15" s="5">
        <f t="shared" si="2"/>
        <v>19.2</v>
      </c>
      <c r="C15" s="5">
        <f t="shared" si="1"/>
        <v>19.2</v>
      </c>
      <c r="D15" s="5">
        <f t="shared" si="1"/>
        <v>19.2</v>
      </c>
      <c r="E15" s="5">
        <f t="shared" si="1"/>
        <v>18.67</v>
      </c>
      <c r="F15" s="5">
        <f t="shared" si="1"/>
        <v>17.39</v>
      </c>
      <c r="G15" s="5">
        <f t="shared" si="1"/>
        <v>17.76</v>
      </c>
      <c r="H15" s="5">
        <f t="shared" si="1"/>
        <v>17.1</v>
      </c>
      <c r="I15" s="5">
        <f t="shared" si="1"/>
        <v>16.05</v>
      </c>
      <c r="J15" s="5">
        <f t="shared" si="1"/>
        <v>15.5</v>
      </c>
      <c r="K15" s="5">
        <f t="shared" si="1"/>
        <v>14.91</v>
      </c>
      <c r="L15" s="5">
        <f t="shared" si="1"/>
        <v>14.49</v>
      </c>
      <c r="M15" s="5">
        <f t="shared" si="1"/>
        <v>14.45</v>
      </c>
      <c r="N15" s="5">
        <f t="shared" si="1"/>
        <v>13.7</v>
      </c>
      <c r="O15" s="5">
        <f t="shared" si="1"/>
        <v>12.94</v>
      </c>
      <c r="P15" s="5">
        <f t="shared" si="1"/>
        <v>12.29</v>
      </c>
      <c r="Q15" s="5">
        <f t="shared" si="1"/>
        <v>9.92</v>
      </c>
      <c r="R15" s="5">
        <f t="shared" si="1"/>
        <v>6.94</v>
      </c>
      <c r="S15" s="5">
        <f t="shared" ref="S15:AH31" si="4">MROUND((($B15-$AJ$2)*((S$2-$AJ$2)/($B$2-$AJ$2)))+$AJ$2,0.01)</f>
        <v>6.13</v>
      </c>
      <c r="T15" s="5">
        <f t="shared" si="4"/>
        <v>3.92</v>
      </c>
      <c r="U15" s="5">
        <f t="shared" si="4"/>
        <v>2.41</v>
      </c>
      <c r="V15" s="5">
        <f t="shared" si="4"/>
        <v>2.15</v>
      </c>
      <c r="W15" s="5">
        <f t="shared" si="4"/>
        <v>1.77</v>
      </c>
      <c r="X15" s="5">
        <f t="shared" si="4"/>
        <v>1.48</v>
      </c>
      <c r="Y15" s="5">
        <f t="shared" si="4"/>
        <v>1.21</v>
      </c>
      <c r="Z15" s="5">
        <f t="shared" si="4"/>
        <v>1.27</v>
      </c>
      <c r="AA15" s="5">
        <f t="shared" si="4"/>
        <v>1.22</v>
      </c>
      <c r="AB15" s="5">
        <f t="shared" si="4"/>
        <v>1.18</v>
      </c>
      <c r="AC15" s="5">
        <f t="shared" si="4"/>
        <v>0.95</v>
      </c>
      <c r="AD15" s="5">
        <f t="shared" si="4"/>
        <v>0.91</v>
      </c>
      <c r="AE15" s="5">
        <f t="shared" si="4"/>
        <v>0.87</v>
      </c>
      <c r="AF15" s="5">
        <f t="shared" si="4"/>
        <v>0.79</v>
      </c>
      <c r="AG15" s="5">
        <f t="shared" si="4"/>
        <v>0.76</v>
      </c>
      <c r="AH15" s="5">
        <f t="shared" si="4"/>
        <v>0.72</v>
      </c>
      <c r="AI15" s="5">
        <f t="shared" si="3"/>
        <v>0.69</v>
      </c>
      <c r="AJ15" s="5">
        <f t="shared" si="3"/>
        <v>0.66</v>
      </c>
    </row>
    <row r="16" spans="1:36">
      <c r="A16" t="str">
        <f>"electricity_archetype_"&amp;TEXT(ROUND(Table2[[#This Row],[2016]],1),"0.0")</f>
        <v>electricity_archetype_19.1</v>
      </c>
      <c r="B16" s="5">
        <f t="shared" si="2"/>
        <v>19.1</v>
      </c>
      <c r="C16" s="5">
        <f t="shared" si="1"/>
        <v>19.1</v>
      </c>
      <c r="D16" s="5">
        <f t="shared" si="1"/>
        <v>19.1</v>
      </c>
      <c r="E16" s="5">
        <f t="shared" si="1"/>
        <v>18.57</v>
      </c>
      <c r="F16" s="5">
        <f t="shared" si="1"/>
        <v>17.3</v>
      </c>
      <c r="G16" s="5">
        <f t="shared" si="1"/>
        <v>17.67</v>
      </c>
      <c r="H16" s="5">
        <f t="shared" si="1"/>
        <v>17.02</v>
      </c>
      <c r="I16" s="5">
        <f t="shared" si="1"/>
        <v>15.97</v>
      </c>
      <c r="J16" s="5">
        <f t="shared" si="1"/>
        <v>15.42</v>
      </c>
      <c r="K16" s="5">
        <f t="shared" si="1"/>
        <v>14.83</v>
      </c>
      <c r="L16" s="5">
        <f t="shared" si="1"/>
        <v>14.42</v>
      </c>
      <c r="M16" s="5">
        <f t="shared" si="1"/>
        <v>14.37</v>
      </c>
      <c r="N16" s="5">
        <f t="shared" si="1"/>
        <v>13.63</v>
      </c>
      <c r="O16" s="5">
        <f t="shared" si="1"/>
        <v>12.88</v>
      </c>
      <c r="P16" s="5">
        <f t="shared" si="1"/>
        <v>12.23</v>
      </c>
      <c r="Q16" s="5">
        <f t="shared" si="1"/>
        <v>9.87</v>
      </c>
      <c r="R16" s="5">
        <f t="shared" si="1"/>
        <v>6.91</v>
      </c>
      <c r="S16" s="5">
        <f t="shared" si="4"/>
        <v>6.1</v>
      </c>
      <c r="T16" s="5">
        <f t="shared" si="4"/>
        <v>3.9</v>
      </c>
      <c r="U16" s="5">
        <f t="shared" si="4"/>
        <v>2.4</v>
      </c>
      <c r="V16" s="5">
        <f t="shared" si="4"/>
        <v>2.14</v>
      </c>
      <c r="W16" s="5">
        <f t="shared" si="4"/>
        <v>1.76</v>
      </c>
      <c r="X16" s="5">
        <f t="shared" si="4"/>
        <v>1.48</v>
      </c>
      <c r="Y16" s="5">
        <f t="shared" si="4"/>
        <v>1.2</v>
      </c>
      <c r="Z16" s="5">
        <f t="shared" si="4"/>
        <v>1.27</v>
      </c>
      <c r="AA16" s="5">
        <f t="shared" si="4"/>
        <v>1.22</v>
      </c>
      <c r="AB16" s="5">
        <f t="shared" si="4"/>
        <v>1.18</v>
      </c>
      <c r="AC16" s="5">
        <f t="shared" si="4"/>
        <v>0.95</v>
      </c>
      <c r="AD16" s="5">
        <f t="shared" si="4"/>
        <v>0.91</v>
      </c>
      <c r="AE16" s="5">
        <f t="shared" si="4"/>
        <v>0.86</v>
      </c>
      <c r="AF16" s="5">
        <f t="shared" si="4"/>
        <v>0.79</v>
      </c>
      <c r="AG16" s="5">
        <f t="shared" si="4"/>
        <v>0.76</v>
      </c>
      <c r="AH16" s="5">
        <f t="shared" si="4"/>
        <v>0.72</v>
      </c>
      <c r="AI16" s="5">
        <f t="shared" si="3"/>
        <v>0.69</v>
      </c>
      <c r="AJ16" s="5">
        <f t="shared" si="3"/>
        <v>0.66</v>
      </c>
    </row>
    <row r="17" spans="1:36">
      <c r="A17" t="str">
        <f>"electricity_archetype_"&amp;TEXT(ROUND(Table2[[#This Row],[2016]],1),"0.0")</f>
        <v>electricity_archetype_19.0</v>
      </c>
      <c r="B17" s="5">
        <f t="shared" si="2"/>
        <v>19</v>
      </c>
      <c r="C17" s="5">
        <f t="shared" si="1"/>
        <v>19</v>
      </c>
      <c r="D17" s="5">
        <f t="shared" si="1"/>
        <v>19</v>
      </c>
      <c r="E17" s="5">
        <f t="shared" si="1"/>
        <v>18.48</v>
      </c>
      <c r="F17" s="5">
        <f t="shared" si="1"/>
        <v>17.21</v>
      </c>
      <c r="G17" s="5">
        <f t="shared" si="1"/>
        <v>17.57</v>
      </c>
      <c r="H17" s="5">
        <f t="shared" si="1"/>
        <v>16.93</v>
      </c>
      <c r="I17" s="5">
        <f t="shared" si="1"/>
        <v>15.89</v>
      </c>
      <c r="J17" s="5">
        <f t="shared" si="1"/>
        <v>15.34</v>
      </c>
      <c r="K17" s="5">
        <f t="shared" si="1"/>
        <v>14.76</v>
      </c>
      <c r="L17" s="5">
        <f t="shared" si="1"/>
        <v>14.35</v>
      </c>
      <c r="M17" s="5">
        <f t="shared" si="1"/>
        <v>14.3</v>
      </c>
      <c r="N17" s="5">
        <f t="shared" si="1"/>
        <v>13.56</v>
      </c>
      <c r="O17" s="5">
        <f t="shared" si="1"/>
        <v>12.81</v>
      </c>
      <c r="P17" s="5">
        <f t="shared" si="1"/>
        <v>12.17</v>
      </c>
      <c r="Q17" s="5">
        <f t="shared" si="1"/>
        <v>9.82</v>
      </c>
      <c r="R17" s="5">
        <f t="shared" si="1"/>
        <v>6.88</v>
      </c>
      <c r="S17" s="5">
        <f t="shared" si="4"/>
        <v>6.07</v>
      </c>
      <c r="T17" s="5">
        <f t="shared" si="4"/>
        <v>3.88</v>
      </c>
      <c r="U17" s="5">
        <f t="shared" si="4"/>
        <v>2.39</v>
      </c>
      <c r="V17" s="5">
        <f t="shared" si="4"/>
        <v>2.13</v>
      </c>
      <c r="W17" s="5">
        <f t="shared" si="4"/>
        <v>1.76</v>
      </c>
      <c r="X17" s="5">
        <f t="shared" si="4"/>
        <v>1.47</v>
      </c>
      <c r="Y17" s="5">
        <f t="shared" si="4"/>
        <v>1.2</v>
      </c>
      <c r="Z17" s="5">
        <f t="shared" si="4"/>
        <v>1.27</v>
      </c>
      <c r="AA17" s="5">
        <f t="shared" si="4"/>
        <v>1.21</v>
      </c>
      <c r="AB17" s="5">
        <f t="shared" si="4"/>
        <v>1.18</v>
      </c>
      <c r="AC17" s="5">
        <f t="shared" si="4"/>
        <v>0.95</v>
      </c>
      <c r="AD17" s="5">
        <f t="shared" si="4"/>
        <v>0.91</v>
      </c>
      <c r="AE17" s="5">
        <f t="shared" si="4"/>
        <v>0.86</v>
      </c>
      <c r="AF17" s="5">
        <f t="shared" si="4"/>
        <v>0.79</v>
      </c>
      <c r="AG17" s="5">
        <f t="shared" si="4"/>
        <v>0.76</v>
      </c>
      <c r="AH17" s="5">
        <f t="shared" si="4"/>
        <v>0.72</v>
      </c>
      <c r="AI17" s="5">
        <f t="shared" si="3"/>
        <v>0.69</v>
      </c>
      <c r="AJ17" s="5">
        <f t="shared" si="3"/>
        <v>0.66</v>
      </c>
    </row>
    <row r="18" spans="1:36">
      <c r="A18" t="str">
        <f>"electricity_archetype_"&amp;TEXT(ROUND(Table2[[#This Row],[2016]],1),"0.0")</f>
        <v>electricity_archetype_18.9</v>
      </c>
      <c r="B18" s="5">
        <f t="shared" si="2"/>
        <v>18.9</v>
      </c>
      <c r="C18" s="5">
        <f t="shared" si="1"/>
        <v>18.9</v>
      </c>
      <c r="D18" s="5">
        <f t="shared" si="1"/>
        <v>18.9</v>
      </c>
      <c r="E18" s="5">
        <f t="shared" si="1"/>
        <v>18.38</v>
      </c>
      <c r="F18" s="5">
        <f t="shared" si="1"/>
        <v>17.12</v>
      </c>
      <c r="G18" s="5">
        <f t="shared" si="1"/>
        <v>17.48</v>
      </c>
      <c r="H18" s="5">
        <f t="shared" si="1"/>
        <v>16.84</v>
      </c>
      <c r="I18" s="5">
        <f t="shared" si="1"/>
        <v>15.8</v>
      </c>
      <c r="J18" s="5">
        <f t="shared" si="1"/>
        <v>15.26</v>
      </c>
      <c r="K18" s="5">
        <f t="shared" si="1"/>
        <v>14.68</v>
      </c>
      <c r="L18" s="5">
        <f t="shared" si="1"/>
        <v>14.27</v>
      </c>
      <c r="M18" s="5">
        <f t="shared" si="1"/>
        <v>14.23</v>
      </c>
      <c r="N18" s="5">
        <f t="shared" si="1"/>
        <v>13.49</v>
      </c>
      <c r="O18" s="5">
        <f t="shared" si="1"/>
        <v>12.74</v>
      </c>
      <c r="P18" s="5">
        <f t="shared" si="1"/>
        <v>12.1</v>
      </c>
      <c r="Q18" s="5">
        <f t="shared" si="1"/>
        <v>9.77</v>
      </c>
      <c r="R18" s="5">
        <f t="shared" si="1"/>
        <v>6.84</v>
      </c>
      <c r="S18" s="5">
        <f t="shared" si="4"/>
        <v>6.04</v>
      </c>
      <c r="T18" s="5">
        <f t="shared" si="4"/>
        <v>3.86</v>
      </c>
      <c r="U18" s="5">
        <f t="shared" si="4"/>
        <v>2.38</v>
      </c>
      <c r="V18" s="5">
        <f t="shared" si="4"/>
        <v>2.12</v>
      </c>
      <c r="W18" s="5">
        <f t="shared" si="4"/>
        <v>1.75</v>
      </c>
      <c r="X18" s="5">
        <f t="shared" si="4"/>
        <v>1.47</v>
      </c>
      <c r="Y18" s="5">
        <f t="shared" si="4"/>
        <v>1.2</v>
      </c>
      <c r="Z18" s="5">
        <f t="shared" si="4"/>
        <v>1.26</v>
      </c>
      <c r="AA18" s="5">
        <f t="shared" si="4"/>
        <v>1.21</v>
      </c>
      <c r="AB18" s="5">
        <f t="shared" si="4"/>
        <v>1.18</v>
      </c>
      <c r="AC18" s="5">
        <f t="shared" si="4"/>
        <v>0.95</v>
      </c>
      <c r="AD18" s="5">
        <f t="shared" si="4"/>
        <v>0.91</v>
      </c>
      <c r="AE18" s="5">
        <f t="shared" si="4"/>
        <v>0.86</v>
      </c>
      <c r="AF18" s="5">
        <f t="shared" si="4"/>
        <v>0.79</v>
      </c>
      <c r="AG18" s="5">
        <f t="shared" si="4"/>
        <v>0.75</v>
      </c>
      <c r="AH18" s="5">
        <f t="shared" si="4"/>
        <v>0.72</v>
      </c>
      <c r="AI18" s="5">
        <f t="shared" si="3"/>
        <v>0.69</v>
      </c>
      <c r="AJ18" s="5">
        <f t="shared" si="3"/>
        <v>0.66</v>
      </c>
    </row>
    <row r="19" spans="1:36">
      <c r="A19" t="str">
        <f>"electricity_archetype_"&amp;TEXT(ROUND(Table2[[#This Row],[2016]],1),"0.0")</f>
        <v>electricity_archetype_18.8</v>
      </c>
      <c r="B19" s="5">
        <f t="shared" si="2"/>
        <v>18.8</v>
      </c>
      <c r="C19" s="5">
        <f t="shared" si="1"/>
        <v>18.8</v>
      </c>
      <c r="D19" s="5">
        <f t="shared" si="1"/>
        <v>18.8</v>
      </c>
      <c r="E19" s="5">
        <f t="shared" si="1"/>
        <v>18.28</v>
      </c>
      <c r="F19" s="5">
        <f t="shared" si="1"/>
        <v>17.03</v>
      </c>
      <c r="G19" s="5">
        <f t="shared" si="1"/>
        <v>17.39</v>
      </c>
      <c r="H19" s="5">
        <f t="shared" si="1"/>
        <v>16.75</v>
      </c>
      <c r="I19" s="5">
        <f t="shared" si="1"/>
        <v>15.72</v>
      </c>
      <c r="J19" s="5">
        <f t="shared" si="1"/>
        <v>15.18</v>
      </c>
      <c r="K19" s="5">
        <f t="shared" si="1"/>
        <v>14.6</v>
      </c>
      <c r="L19" s="5">
        <f t="shared" si="1"/>
        <v>14.2</v>
      </c>
      <c r="M19" s="5">
        <f t="shared" si="1"/>
        <v>14.15</v>
      </c>
      <c r="N19" s="5">
        <f t="shared" si="1"/>
        <v>13.42</v>
      </c>
      <c r="O19" s="5">
        <f t="shared" si="1"/>
        <v>12.68</v>
      </c>
      <c r="P19" s="5">
        <f t="shared" si="1"/>
        <v>12.04</v>
      </c>
      <c r="Q19" s="5">
        <f t="shared" si="1"/>
        <v>9.72</v>
      </c>
      <c r="R19" s="5">
        <f t="shared" si="1"/>
        <v>6.81</v>
      </c>
      <c r="S19" s="5">
        <f t="shared" si="4"/>
        <v>6.01</v>
      </c>
      <c r="T19" s="5">
        <f t="shared" si="4"/>
        <v>3.85</v>
      </c>
      <c r="U19" s="5">
        <f t="shared" si="4"/>
        <v>2.37</v>
      </c>
      <c r="V19" s="5">
        <f t="shared" si="4"/>
        <v>2.11</v>
      </c>
      <c r="W19" s="5">
        <f t="shared" si="4"/>
        <v>1.74</v>
      </c>
      <c r="X19" s="5">
        <f t="shared" si="4"/>
        <v>1.46</v>
      </c>
      <c r="Y19" s="5">
        <f t="shared" si="4"/>
        <v>1.2</v>
      </c>
      <c r="Z19" s="5">
        <f t="shared" si="4"/>
        <v>1.26</v>
      </c>
      <c r="AA19" s="5">
        <f t="shared" si="4"/>
        <v>1.21</v>
      </c>
      <c r="AB19" s="5">
        <f t="shared" si="4"/>
        <v>1.17</v>
      </c>
      <c r="AC19" s="5">
        <f t="shared" si="4"/>
        <v>0.94</v>
      </c>
      <c r="AD19" s="5">
        <f t="shared" si="4"/>
        <v>0.91</v>
      </c>
      <c r="AE19" s="5">
        <f t="shared" si="4"/>
        <v>0.86</v>
      </c>
      <c r="AF19" s="5">
        <f t="shared" si="4"/>
        <v>0.79</v>
      </c>
      <c r="AG19" s="5">
        <f t="shared" si="4"/>
        <v>0.75</v>
      </c>
      <c r="AH19" s="5">
        <f t="shared" si="4"/>
        <v>0.72</v>
      </c>
      <c r="AI19" s="5">
        <f t="shared" si="3"/>
        <v>0.69</v>
      </c>
      <c r="AJ19" s="5">
        <f t="shared" si="3"/>
        <v>0.66</v>
      </c>
    </row>
    <row r="20" spans="1:36">
      <c r="A20" t="str">
        <f>"electricity_archetype_"&amp;TEXT(ROUND(Table2[[#This Row],[2016]],1),"0.0")</f>
        <v>electricity_archetype_18.7</v>
      </c>
      <c r="B20" s="5">
        <f t="shared" si="2"/>
        <v>18.7</v>
      </c>
      <c r="C20" s="5">
        <f t="shared" si="1"/>
        <v>18.7</v>
      </c>
      <c r="D20" s="5">
        <f t="shared" si="1"/>
        <v>18.7</v>
      </c>
      <c r="E20" s="5">
        <f t="shared" si="1"/>
        <v>18.18</v>
      </c>
      <c r="F20" s="5">
        <f t="shared" si="1"/>
        <v>16.94</v>
      </c>
      <c r="G20" s="5">
        <f t="shared" si="1"/>
        <v>17.3</v>
      </c>
      <c r="H20" s="5">
        <f t="shared" si="1"/>
        <v>16.66</v>
      </c>
      <c r="I20" s="5">
        <f t="shared" si="1"/>
        <v>15.64</v>
      </c>
      <c r="J20" s="5">
        <f t="shared" si="1"/>
        <v>15.1</v>
      </c>
      <c r="K20" s="5">
        <f t="shared" si="1"/>
        <v>14.53</v>
      </c>
      <c r="L20" s="5">
        <f t="shared" si="1"/>
        <v>14.12</v>
      </c>
      <c r="M20" s="5">
        <f t="shared" si="1"/>
        <v>14.08</v>
      </c>
      <c r="N20" s="5">
        <f t="shared" si="1"/>
        <v>13.35</v>
      </c>
      <c r="O20" s="5">
        <f t="shared" si="1"/>
        <v>12.61</v>
      </c>
      <c r="P20" s="5">
        <f t="shared" si="1"/>
        <v>11.98</v>
      </c>
      <c r="Q20" s="5">
        <f t="shared" si="1"/>
        <v>9.67</v>
      </c>
      <c r="R20" s="5">
        <f t="shared" si="1"/>
        <v>6.77</v>
      </c>
      <c r="S20" s="5">
        <f t="shared" si="4"/>
        <v>5.98</v>
      </c>
      <c r="T20" s="5">
        <f t="shared" si="4"/>
        <v>3.83</v>
      </c>
      <c r="U20" s="5">
        <f t="shared" si="4"/>
        <v>2.36</v>
      </c>
      <c r="V20" s="5">
        <f t="shared" si="4"/>
        <v>2.11</v>
      </c>
      <c r="W20" s="5">
        <f t="shared" si="4"/>
        <v>1.74</v>
      </c>
      <c r="X20" s="5">
        <f t="shared" si="4"/>
        <v>1.46</v>
      </c>
      <c r="Y20" s="5">
        <f t="shared" si="4"/>
        <v>1.19</v>
      </c>
      <c r="Z20" s="5">
        <f t="shared" si="4"/>
        <v>1.26</v>
      </c>
      <c r="AA20" s="5">
        <f t="shared" si="4"/>
        <v>1.2</v>
      </c>
      <c r="AB20" s="5">
        <f t="shared" si="4"/>
        <v>1.17</v>
      </c>
      <c r="AC20" s="5">
        <f t="shared" si="4"/>
        <v>0.94</v>
      </c>
      <c r="AD20" s="5">
        <f t="shared" si="4"/>
        <v>0.9</v>
      </c>
      <c r="AE20" s="5">
        <f t="shared" si="4"/>
        <v>0.86</v>
      </c>
      <c r="AF20" s="5">
        <f t="shared" si="4"/>
        <v>0.79</v>
      </c>
      <c r="AG20" s="5">
        <f t="shared" si="4"/>
        <v>0.75</v>
      </c>
      <c r="AH20" s="5">
        <f t="shared" si="4"/>
        <v>0.72</v>
      </c>
      <c r="AI20" s="5">
        <f t="shared" si="3"/>
        <v>0.69</v>
      </c>
      <c r="AJ20" s="5">
        <f t="shared" si="3"/>
        <v>0.66</v>
      </c>
    </row>
    <row r="21" spans="1:36">
      <c r="A21" t="str">
        <f>"electricity_archetype_"&amp;TEXT(ROUND(Table2[[#This Row],[2016]],1),"0.0")</f>
        <v>electricity_archetype_18.6</v>
      </c>
      <c r="B21" s="5">
        <f t="shared" si="2"/>
        <v>18.6</v>
      </c>
      <c r="C21" s="5">
        <f t="shared" si="1"/>
        <v>18.6</v>
      </c>
      <c r="D21" s="5">
        <f t="shared" si="1"/>
        <v>18.6</v>
      </c>
      <c r="E21" s="5">
        <f t="shared" si="1"/>
        <v>18.09</v>
      </c>
      <c r="F21" s="5">
        <f t="shared" si="1"/>
        <v>16.85</v>
      </c>
      <c r="G21" s="5">
        <f t="shared" si="1"/>
        <v>17.21</v>
      </c>
      <c r="H21" s="5">
        <f t="shared" si="1"/>
        <v>16.57</v>
      </c>
      <c r="I21" s="5">
        <f t="shared" si="1"/>
        <v>15.55</v>
      </c>
      <c r="J21" s="5">
        <f t="shared" si="1"/>
        <v>15.02</v>
      </c>
      <c r="K21" s="5">
        <f t="shared" si="1"/>
        <v>14.45</v>
      </c>
      <c r="L21" s="5">
        <f t="shared" si="1"/>
        <v>14.05</v>
      </c>
      <c r="M21" s="5">
        <f t="shared" si="1"/>
        <v>14</v>
      </c>
      <c r="N21" s="5">
        <f t="shared" si="1"/>
        <v>13.28</v>
      </c>
      <c r="O21" s="5">
        <f t="shared" si="1"/>
        <v>12.55</v>
      </c>
      <c r="P21" s="5">
        <f t="shared" si="1"/>
        <v>11.92</v>
      </c>
      <c r="Q21" s="5">
        <f t="shared" si="1"/>
        <v>9.62</v>
      </c>
      <c r="R21" s="5">
        <f t="shared" si="1"/>
        <v>6.74</v>
      </c>
      <c r="S21" s="5">
        <f t="shared" si="4"/>
        <v>5.95</v>
      </c>
      <c r="T21" s="5">
        <f t="shared" si="4"/>
        <v>3.81</v>
      </c>
      <c r="U21" s="5">
        <f t="shared" si="4"/>
        <v>2.35</v>
      </c>
      <c r="V21" s="5">
        <f t="shared" si="4"/>
        <v>2.1</v>
      </c>
      <c r="W21" s="5">
        <f t="shared" si="4"/>
        <v>1.73</v>
      </c>
      <c r="X21" s="5">
        <f t="shared" si="4"/>
        <v>1.45</v>
      </c>
      <c r="Y21" s="5">
        <f t="shared" si="4"/>
        <v>1.19</v>
      </c>
      <c r="Z21" s="5">
        <f t="shared" si="4"/>
        <v>1.25</v>
      </c>
      <c r="AA21" s="5">
        <f t="shared" si="4"/>
        <v>1.2</v>
      </c>
      <c r="AB21" s="5">
        <f t="shared" si="4"/>
        <v>1.17</v>
      </c>
      <c r="AC21" s="5">
        <f t="shared" si="4"/>
        <v>0.94</v>
      </c>
      <c r="AD21" s="5">
        <f t="shared" si="4"/>
        <v>0.9</v>
      </c>
      <c r="AE21" s="5">
        <f t="shared" si="4"/>
        <v>0.86</v>
      </c>
      <c r="AF21" s="5">
        <f t="shared" si="4"/>
        <v>0.79</v>
      </c>
      <c r="AG21" s="5">
        <f t="shared" si="4"/>
        <v>0.75</v>
      </c>
      <c r="AH21" s="5">
        <f t="shared" si="4"/>
        <v>0.72</v>
      </c>
      <c r="AI21" s="5">
        <f t="shared" si="3"/>
        <v>0.69</v>
      </c>
      <c r="AJ21" s="5">
        <f t="shared" si="3"/>
        <v>0.66</v>
      </c>
    </row>
    <row r="22" spans="1:36">
      <c r="A22" t="str">
        <f>"electricity_archetype_"&amp;TEXT(ROUND(Table2[[#This Row],[2016]],1),"0.0")</f>
        <v>electricity_archetype_18.5</v>
      </c>
      <c r="B22" s="5">
        <f t="shared" si="2"/>
        <v>18.5</v>
      </c>
      <c r="C22" s="5">
        <f t="shared" si="1"/>
        <v>18.5</v>
      </c>
      <c r="D22" s="5">
        <f t="shared" si="1"/>
        <v>18.5</v>
      </c>
      <c r="E22" s="5">
        <f t="shared" si="1"/>
        <v>17.99</v>
      </c>
      <c r="F22" s="5">
        <f t="shared" si="1"/>
        <v>16.76</v>
      </c>
      <c r="G22" s="5">
        <f t="shared" si="1"/>
        <v>17.11</v>
      </c>
      <c r="H22" s="5">
        <f t="shared" si="1"/>
        <v>16.48</v>
      </c>
      <c r="I22" s="5">
        <f t="shared" si="1"/>
        <v>15.47</v>
      </c>
      <c r="J22" s="5">
        <f t="shared" si="1"/>
        <v>14.94</v>
      </c>
      <c r="K22" s="5">
        <f t="shared" si="1"/>
        <v>14.37</v>
      </c>
      <c r="L22" s="5">
        <f t="shared" si="1"/>
        <v>13.97</v>
      </c>
      <c r="M22" s="5">
        <f t="shared" si="1"/>
        <v>13.93</v>
      </c>
      <c r="N22" s="5">
        <f t="shared" si="1"/>
        <v>13.21</v>
      </c>
      <c r="O22" s="5">
        <f t="shared" si="1"/>
        <v>12.48</v>
      </c>
      <c r="P22" s="5">
        <f t="shared" si="1"/>
        <v>11.85</v>
      </c>
      <c r="Q22" s="5">
        <f t="shared" si="1"/>
        <v>9.57</v>
      </c>
      <c r="R22" s="5">
        <f t="shared" si="1"/>
        <v>6.71</v>
      </c>
      <c r="S22" s="5">
        <f t="shared" si="4"/>
        <v>5.92</v>
      </c>
      <c r="T22" s="5">
        <f t="shared" si="4"/>
        <v>3.79</v>
      </c>
      <c r="U22" s="5">
        <f t="shared" si="4"/>
        <v>2.34</v>
      </c>
      <c r="V22" s="5">
        <f t="shared" si="4"/>
        <v>2.09</v>
      </c>
      <c r="W22" s="5">
        <f t="shared" si="4"/>
        <v>1.73</v>
      </c>
      <c r="X22" s="5">
        <f t="shared" si="4"/>
        <v>1.45</v>
      </c>
      <c r="Y22" s="5">
        <f t="shared" si="4"/>
        <v>1.19</v>
      </c>
      <c r="Z22" s="5">
        <f t="shared" si="4"/>
        <v>1.25</v>
      </c>
      <c r="AA22" s="5">
        <f t="shared" si="4"/>
        <v>1.2</v>
      </c>
      <c r="AB22" s="5">
        <f t="shared" si="4"/>
        <v>1.16</v>
      </c>
      <c r="AC22" s="5">
        <f t="shared" si="4"/>
        <v>0.94</v>
      </c>
      <c r="AD22" s="5">
        <f t="shared" si="4"/>
        <v>0.9</v>
      </c>
      <c r="AE22" s="5">
        <f t="shared" si="4"/>
        <v>0.86</v>
      </c>
      <c r="AF22" s="5">
        <f t="shared" si="4"/>
        <v>0.78</v>
      </c>
      <c r="AG22" s="5">
        <f t="shared" si="4"/>
        <v>0.75</v>
      </c>
      <c r="AH22" s="5">
        <f t="shared" si="4"/>
        <v>0.72</v>
      </c>
      <c r="AI22" s="5">
        <f t="shared" si="3"/>
        <v>0.69</v>
      </c>
      <c r="AJ22" s="5">
        <f t="shared" si="3"/>
        <v>0.66</v>
      </c>
    </row>
    <row r="23" spans="1:36">
      <c r="A23" t="str">
        <f>"electricity_archetype_"&amp;TEXT(ROUND(Table2[[#This Row],[2016]],1),"0.0")</f>
        <v>electricity_archetype_18.4</v>
      </c>
      <c r="B23" s="5">
        <f t="shared" si="2"/>
        <v>18.4</v>
      </c>
      <c r="C23" s="5">
        <f t="shared" si="1"/>
        <v>18.4</v>
      </c>
      <c r="D23" s="5">
        <f t="shared" si="1"/>
        <v>18.4</v>
      </c>
      <c r="E23" s="5">
        <f t="shared" si="1"/>
        <v>17.89</v>
      </c>
      <c r="F23" s="5">
        <f t="shared" si="1"/>
        <v>16.67</v>
      </c>
      <c r="G23" s="5">
        <f t="shared" si="1"/>
        <v>17.02</v>
      </c>
      <c r="H23" s="5">
        <f t="shared" si="1"/>
        <v>16.39</v>
      </c>
      <c r="I23" s="5">
        <f t="shared" si="1"/>
        <v>15.39</v>
      </c>
      <c r="J23" s="5">
        <f t="shared" si="1"/>
        <v>14.86</v>
      </c>
      <c r="K23" s="5">
        <f t="shared" si="1"/>
        <v>14.29</v>
      </c>
      <c r="L23" s="5">
        <f t="shared" si="1"/>
        <v>13.9</v>
      </c>
      <c r="M23" s="5">
        <f t="shared" si="1"/>
        <v>13.85</v>
      </c>
      <c r="N23" s="5">
        <f t="shared" si="1"/>
        <v>13.14</v>
      </c>
      <c r="O23" s="5">
        <f t="shared" si="1"/>
        <v>12.41</v>
      </c>
      <c r="P23" s="5">
        <f t="shared" si="1"/>
        <v>11.79</v>
      </c>
      <c r="Q23" s="5">
        <f t="shared" si="1"/>
        <v>9.52</v>
      </c>
      <c r="R23" s="5">
        <f t="shared" si="1"/>
        <v>6.67</v>
      </c>
      <c r="S23" s="5">
        <f t="shared" si="4"/>
        <v>5.89</v>
      </c>
      <c r="T23" s="5">
        <f t="shared" si="4"/>
        <v>3.78</v>
      </c>
      <c r="U23" s="5">
        <f t="shared" si="4"/>
        <v>2.33</v>
      </c>
      <c r="V23" s="5">
        <f t="shared" si="4"/>
        <v>2.08</v>
      </c>
      <c r="W23" s="5">
        <f t="shared" si="4"/>
        <v>1.72</v>
      </c>
      <c r="X23" s="5">
        <f t="shared" si="4"/>
        <v>1.45</v>
      </c>
      <c r="Y23" s="5">
        <f t="shared" si="4"/>
        <v>1.18</v>
      </c>
      <c r="Z23" s="5">
        <f t="shared" si="4"/>
        <v>1.25</v>
      </c>
      <c r="AA23" s="5">
        <f t="shared" si="4"/>
        <v>1.19</v>
      </c>
      <c r="AB23" s="5">
        <f t="shared" si="4"/>
        <v>1.16</v>
      </c>
      <c r="AC23" s="5">
        <f t="shared" si="4"/>
        <v>0.94</v>
      </c>
      <c r="AD23" s="5">
        <f t="shared" si="4"/>
        <v>0.9</v>
      </c>
      <c r="AE23" s="5">
        <f t="shared" si="4"/>
        <v>0.86</v>
      </c>
      <c r="AF23" s="5">
        <f t="shared" si="4"/>
        <v>0.78</v>
      </c>
      <c r="AG23" s="5">
        <f t="shared" si="4"/>
        <v>0.75</v>
      </c>
      <c r="AH23" s="5">
        <f t="shared" si="4"/>
        <v>0.72</v>
      </c>
      <c r="AI23" s="5">
        <f t="shared" si="3"/>
        <v>0.69</v>
      </c>
      <c r="AJ23" s="5">
        <f t="shared" si="3"/>
        <v>0.66</v>
      </c>
    </row>
    <row r="24" spans="1:36">
      <c r="A24" t="str">
        <f>"electricity_archetype_"&amp;TEXT(ROUND(Table2[[#This Row],[2016]],1),"0.0")</f>
        <v>electricity_archetype_18.3</v>
      </c>
      <c r="B24" s="5">
        <f t="shared" si="2"/>
        <v>18.3</v>
      </c>
      <c r="C24" s="5">
        <f t="shared" si="1"/>
        <v>18.3</v>
      </c>
      <c r="D24" s="5">
        <f t="shared" si="1"/>
        <v>18.3</v>
      </c>
      <c r="E24" s="5">
        <f t="shared" si="1"/>
        <v>17.8</v>
      </c>
      <c r="F24" s="5">
        <f t="shared" si="1"/>
        <v>16.58</v>
      </c>
      <c r="G24" s="5">
        <f t="shared" si="1"/>
        <v>16.93</v>
      </c>
      <c r="H24" s="5">
        <f t="shared" si="1"/>
        <v>16.31</v>
      </c>
      <c r="I24" s="5">
        <f t="shared" si="1"/>
        <v>15.31</v>
      </c>
      <c r="J24" s="5">
        <f t="shared" si="1"/>
        <v>14.78</v>
      </c>
      <c r="K24" s="5">
        <f t="shared" si="1"/>
        <v>14.22</v>
      </c>
      <c r="L24" s="5">
        <f t="shared" si="1"/>
        <v>13.82</v>
      </c>
      <c r="M24" s="5">
        <f t="shared" si="1"/>
        <v>13.78</v>
      </c>
      <c r="N24" s="5">
        <f t="shared" si="1"/>
        <v>13.07</v>
      </c>
      <c r="O24" s="5">
        <f t="shared" si="1"/>
        <v>12.35</v>
      </c>
      <c r="P24" s="5">
        <f t="shared" si="1"/>
        <v>11.73</v>
      </c>
      <c r="Q24" s="5">
        <f t="shared" si="1"/>
        <v>9.47</v>
      </c>
      <c r="R24" s="5">
        <f t="shared" si="1"/>
        <v>6.64</v>
      </c>
      <c r="S24" s="5">
        <f t="shared" si="4"/>
        <v>5.86</v>
      </c>
      <c r="T24" s="5">
        <f t="shared" si="4"/>
        <v>3.76</v>
      </c>
      <c r="U24" s="5">
        <f t="shared" si="4"/>
        <v>2.32</v>
      </c>
      <c r="V24" s="5">
        <f t="shared" si="4"/>
        <v>2.07</v>
      </c>
      <c r="W24" s="5">
        <f t="shared" si="4"/>
        <v>1.71</v>
      </c>
      <c r="X24" s="5">
        <f t="shared" si="4"/>
        <v>1.44</v>
      </c>
      <c r="Y24" s="5">
        <f t="shared" si="4"/>
        <v>1.18</v>
      </c>
      <c r="Z24" s="5">
        <f t="shared" si="4"/>
        <v>1.24</v>
      </c>
      <c r="AA24" s="5">
        <f t="shared" si="4"/>
        <v>1.19</v>
      </c>
      <c r="AB24" s="5">
        <f t="shared" si="4"/>
        <v>1.16</v>
      </c>
      <c r="AC24" s="5">
        <f t="shared" si="4"/>
        <v>0.94</v>
      </c>
      <c r="AD24" s="5">
        <f t="shared" si="4"/>
        <v>0.9</v>
      </c>
      <c r="AE24" s="5">
        <f t="shared" si="4"/>
        <v>0.86</v>
      </c>
      <c r="AF24" s="5">
        <f t="shared" si="4"/>
        <v>0.78</v>
      </c>
      <c r="AG24" s="5">
        <f t="shared" si="4"/>
        <v>0.75</v>
      </c>
      <c r="AH24" s="5">
        <f t="shared" si="4"/>
        <v>0.72</v>
      </c>
      <c r="AI24" s="5">
        <f t="shared" si="3"/>
        <v>0.69</v>
      </c>
      <c r="AJ24" s="5">
        <f t="shared" si="3"/>
        <v>0.66</v>
      </c>
    </row>
    <row r="25" spans="1:36">
      <c r="A25" t="str">
        <f>"electricity_archetype_"&amp;TEXT(ROUND(Table2[[#This Row],[2016]],1),"0.0")</f>
        <v>electricity_archetype_18.2</v>
      </c>
      <c r="B25" s="5">
        <f t="shared" si="2"/>
        <v>18.2</v>
      </c>
      <c r="C25" s="5">
        <f t="shared" si="1"/>
        <v>18.2</v>
      </c>
      <c r="D25" s="5">
        <f t="shared" si="1"/>
        <v>18.2</v>
      </c>
      <c r="E25" s="5">
        <f t="shared" si="1"/>
        <v>17.7</v>
      </c>
      <c r="F25" s="5">
        <f t="shared" si="1"/>
        <v>16.49</v>
      </c>
      <c r="G25" s="5">
        <f t="shared" si="1"/>
        <v>16.84</v>
      </c>
      <c r="H25" s="5">
        <f t="shared" si="1"/>
        <v>16.22</v>
      </c>
      <c r="I25" s="5">
        <f t="shared" si="1"/>
        <v>15.22</v>
      </c>
      <c r="J25" s="5">
        <f t="shared" si="1"/>
        <v>14.7</v>
      </c>
      <c r="K25" s="5">
        <f t="shared" si="1"/>
        <v>14.14</v>
      </c>
      <c r="L25" s="5">
        <f t="shared" si="1"/>
        <v>13.75</v>
      </c>
      <c r="M25" s="5">
        <f t="shared" si="1"/>
        <v>13.71</v>
      </c>
      <c r="N25" s="5">
        <f t="shared" si="1"/>
        <v>13</v>
      </c>
      <c r="O25" s="5">
        <f t="shared" si="1"/>
        <v>12.28</v>
      </c>
      <c r="P25" s="5">
        <f t="shared" si="1"/>
        <v>11.67</v>
      </c>
      <c r="Q25" s="5">
        <f t="shared" si="1"/>
        <v>9.42</v>
      </c>
      <c r="R25" s="5">
        <f t="shared" si="1"/>
        <v>6.6</v>
      </c>
      <c r="S25" s="5">
        <f t="shared" si="4"/>
        <v>5.83</v>
      </c>
      <c r="T25" s="5">
        <f t="shared" si="4"/>
        <v>3.74</v>
      </c>
      <c r="U25" s="5">
        <f t="shared" si="4"/>
        <v>2.31</v>
      </c>
      <c r="V25" s="5">
        <f t="shared" si="4"/>
        <v>2.07</v>
      </c>
      <c r="W25" s="5">
        <f t="shared" si="4"/>
        <v>1.71</v>
      </c>
      <c r="X25" s="5">
        <f t="shared" si="4"/>
        <v>1.44</v>
      </c>
      <c r="Y25" s="5">
        <f t="shared" si="4"/>
        <v>1.18</v>
      </c>
      <c r="Z25" s="5">
        <f t="shared" si="4"/>
        <v>1.24</v>
      </c>
      <c r="AA25" s="5">
        <f t="shared" si="4"/>
        <v>1.19</v>
      </c>
      <c r="AB25" s="5">
        <f t="shared" si="4"/>
        <v>1.16</v>
      </c>
      <c r="AC25" s="5">
        <f t="shared" si="4"/>
        <v>0.93</v>
      </c>
      <c r="AD25" s="5">
        <f t="shared" si="4"/>
        <v>0.9</v>
      </c>
      <c r="AE25" s="5">
        <f t="shared" si="4"/>
        <v>0.85</v>
      </c>
      <c r="AF25" s="5">
        <f t="shared" si="4"/>
        <v>0.78</v>
      </c>
      <c r="AG25" s="5">
        <f t="shared" si="4"/>
        <v>0.75</v>
      </c>
      <c r="AH25" s="5">
        <f t="shared" si="4"/>
        <v>0.72</v>
      </c>
      <c r="AI25" s="5">
        <f t="shared" si="3"/>
        <v>0.69</v>
      </c>
      <c r="AJ25" s="5">
        <f t="shared" si="3"/>
        <v>0.66</v>
      </c>
    </row>
    <row r="26" spans="1:36">
      <c r="A26" t="str">
        <f>"electricity_archetype_"&amp;TEXT(ROUND(Table2[[#This Row],[2016]],1),"0.0")</f>
        <v>electricity_archetype_18.1</v>
      </c>
      <c r="B26" s="5">
        <f t="shared" si="2"/>
        <v>18.1</v>
      </c>
      <c r="C26" s="5">
        <f t="shared" si="1"/>
        <v>18.1</v>
      </c>
      <c r="D26" s="5">
        <f t="shared" si="1"/>
        <v>18.1</v>
      </c>
      <c r="E26" s="5">
        <f t="shared" si="1"/>
        <v>17.6</v>
      </c>
      <c r="F26" s="5">
        <f t="shared" si="1"/>
        <v>16.4</v>
      </c>
      <c r="G26" s="5">
        <f t="shared" si="1"/>
        <v>16.74</v>
      </c>
      <c r="H26" s="5">
        <f t="shared" si="1"/>
        <v>16.13</v>
      </c>
      <c r="I26" s="5">
        <f t="shared" si="1"/>
        <v>15.14</v>
      </c>
      <c r="J26" s="5">
        <f t="shared" si="1"/>
        <v>14.62</v>
      </c>
      <c r="K26" s="5">
        <f t="shared" si="1"/>
        <v>14.06</v>
      </c>
      <c r="L26" s="5">
        <f t="shared" si="1"/>
        <v>13.67</v>
      </c>
      <c r="M26" s="5">
        <f t="shared" si="1"/>
        <v>13.63</v>
      </c>
      <c r="N26" s="5">
        <f t="shared" si="1"/>
        <v>12.92</v>
      </c>
      <c r="O26" s="5">
        <f t="shared" si="1"/>
        <v>12.21</v>
      </c>
      <c r="P26" s="5">
        <f t="shared" si="1"/>
        <v>11.6</v>
      </c>
      <c r="Q26" s="5">
        <f t="shared" si="1"/>
        <v>9.37</v>
      </c>
      <c r="R26" s="5">
        <f t="shared" si="1"/>
        <v>6.57</v>
      </c>
      <c r="S26" s="5">
        <f t="shared" si="4"/>
        <v>5.8</v>
      </c>
      <c r="T26" s="5">
        <f t="shared" si="4"/>
        <v>3.72</v>
      </c>
      <c r="U26" s="5">
        <f t="shared" si="4"/>
        <v>2.3</v>
      </c>
      <c r="V26" s="5">
        <f t="shared" si="4"/>
        <v>2.06</v>
      </c>
      <c r="W26" s="5">
        <f t="shared" si="4"/>
        <v>1.7</v>
      </c>
      <c r="X26" s="5">
        <f t="shared" si="4"/>
        <v>1.43</v>
      </c>
      <c r="Y26" s="5">
        <f t="shared" si="4"/>
        <v>1.18</v>
      </c>
      <c r="Z26" s="5">
        <f t="shared" si="4"/>
        <v>1.24</v>
      </c>
      <c r="AA26" s="5">
        <f t="shared" si="4"/>
        <v>1.19</v>
      </c>
      <c r="AB26" s="5">
        <f t="shared" si="4"/>
        <v>1.15</v>
      </c>
      <c r="AC26" s="5">
        <f t="shared" si="4"/>
        <v>0.93</v>
      </c>
      <c r="AD26" s="5">
        <f t="shared" si="4"/>
        <v>0.9</v>
      </c>
      <c r="AE26" s="5">
        <f t="shared" si="4"/>
        <v>0.85</v>
      </c>
      <c r="AF26" s="5">
        <f t="shared" si="4"/>
        <v>0.78</v>
      </c>
      <c r="AG26" s="5">
        <f t="shared" si="4"/>
        <v>0.75</v>
      </c>
      <c r="AH26" s="5">
        <f t="shared" si="4"/>
        <v>0.72</v>
      </c>
      <c r="AI26" s="5">
        <f t="shared" si="3"/>
        <v>0.69</v>
      </c>
      <c r="AJ26" s="5">
        <f t="shared" si="3"/>
        <v>0.66</v>
      </c>
    </row>
    <row r="27" spans="1:36">
      <c r="A27" t="str">
        <f>"electricity_archetype_"&amp;TEXT(ROUND(Table2[[#This Row],[2016]],1),"0.0")</f>
        <v>electricity_archetype_18.0</v>
      </c>
      <c r="B27" s="5">
        <f t="shared" si="2"/>
        <v>18</v>
      </c>
      <c r="C27" s="5">
        <f t="shared" si="1"/>
        <v>18</v>
      </c>
      <c r="D27" s="5">
        <f t="shared" si="1"/>
        <v>18</v>
      </c>
      <c r="E27" s="5">
        <f t="shared" si="1"/>
        <v>17.5</v>
      </c>
      <c r="F27" s="5">
        <f t="shared" si="1"/>
        <v>16.3</v>
      </c>
      <c r="G27" s="5">
        <f t="shared" si="1"/>
        <v>16.65</v>
      </c>
      <c r="H27" s="5">
        <f t="shared" si="1"/>
        <v>16.04</v>
      </c>
      <c r="I27" s="5">
        <f t="shared" si="1"/>
        <v>15.06</v>
      </c>
      <c r="J27" s="5">
        <f t="shared" si="1"/>
        <v>14.54</v>
      </c>
      <c r="K27" s="5">
        <f t="shared" si="1"/>
        <v>13.99</v>
      </c>
      <c r="L27" s="5">
        <f t="shared" si="1"/>
        <v>13.6</v>
      </c>
      <c r="M27" s="5">
        <f t="shared" si="1"/>
        <v>13.56</v>
      </c>
      <c r="N27" s="5">
        <f t="shared" si="1"/>
        <v>12.85</v>
      </c>
      <c r="O27" s="5">
        <f t="shared" si="1"/>
        <v>12.15</v>
      </c>
      <c r="P27" s="5">
        <f t="shared" si="1"/>
        <v>11.54</v>
      </c>
      <c r="Q27" s="5">
        <f t="shared" si="1"/>
        <v>9.32</v>
      </c>
      <c r="R27" s="5">
        <f t="shared" si="1"/>
        <v>6.54</v>
      </c>
      <c r="S27" s="5">
        <f t="shared" si="4"/>
        <v>5.77</v>
      </c>
      <c r="T27" s="5">
        <f t="shared" si="4"/>
        <v>3.71</v>
      </c>
      <c r="U27" s="5">
        <f t="shared" si="4"/>
        <v>2.29</v>
      </c>
      <c r="V27" s="5">
        <f t="shared" si="4"/>
        <v>2.05</v>
      </c>
      <c r="W27" s="5">
        <f t="shared" si="4"/>
        <v>1.7</v>
      </c>
      <c r="X27" s="5">
        <f t="shared" si="4"/>
        <v>1.43</v>
      </c>
      <c r="Y27" s="5">
        <f t="shared" si="4"/>
        <v>1.17</v>
      </c>
      <c r="Z27" s="5">
        <f t="shared" si="4"/>
        <v>1.23</v>
      </c>
      <c r="AA27" s="5">
        <f t="shared" si="4"/>
        <v>1.18</v>
      </c>
      <c r="AB27" s="5">
        <f t="shared" si="4"/>
        <v>1.15</v>
      </c>
      <c r="AC27" s="5">
        <f t="shared" si="4"/>
        <v>0.93</v>
      </c>
      <c r="AD27" s="5">
        <f t="shared" si="4"/>
        <v>0.89</v>
      </c>
      <c r="AE27" s="5">
        <f t="shared" si="4"/>
        <v>0.85</v>
      </c>
      <c r="AF27" s="5">
        <f t="shared" si="4"/>
        <v>0.78</v>
      </c>
      <c r="AG27" s="5">
        <f t="shared" si="4"/>
        <v>0.75</v>
      </c>
      <c r="AH27" s="5">
        <f t="shared" si="4"/>
        <v>0.72</v>
      </c>
      <c r="AI27" s="5">
        <f t="shared" si="3"/>
        <v>0.69</v>
      </c>
      <c r="AJ27" s="5">
        <f t="shared" si="3"/>
        <v>0.66</v>
      </c>
    </row>
    <row r="28" spans="1:36">
      <c r="A28" t="str">
        <f>"electricity_archetype_"&amp;TEXT(ROUND(Table2[[#This Row],[2016]],1),"0.0")</f>
        <v>electricity_archetype_17.9</v>
      </c>
      <c r="B28" s="5">
        <f t="shared" si="2"/>
        <v>17.9</v>
      </c>
      <c r="C28" s="5">
        <f t="shared" si="1"/>
        <v>17.9</v>
      </c>
      <c r="D28" s="5">
        <f t="shared" si="1"/>
        <v>17.9</v>
      </c>
      <c r="E28" s="5">
        <f t="shared" si="1"/>
        <v>17.41</v>
      </c>
      <c r="F28" s="5">
        <f t="shared" si="1"/>
        <v>16.21</v>
      </c>
      <c r="G28" s="5">
        <f t="shared" si="1"/>
        <v>16.56</v>
      </c>
      <c r="H28" s="5">
        <f t="shared" si="1"/>
        <v>15.95</v>
      </c>
      <c r="I28" s="5">
        <f t="shared" si="1"/>
        <v>14.97</v>
      </c>
      <c r="J28" s="5">
        <f t="shared" si="1"/>
        <v>14.46</v>
      </c>
      <c r="K28" s="5">
        <f t="shared" si="1"/>
        <v>13.91</v>
      </c>
      <c r="L28" s="5">
        <f t="shared" si="1"/>
        <v>13.52</v>
      </c>
      <c r="M28" s="5">
        <f t="shared" si="1"/>
        <v>13.48</v>
      </c>
      <c r="N28" s="5">
        <f t="shared" si="1"/>
        <v>12.78</v>
      </c>
      <c r="O28" s="5">
        <f t="shared" si="1"/>
        <v>12.08</v>
      </c>
      <c r="P28" s="5">
        <f t="shared" si="1"/>
        <v>11.48</v>
      </c>
      <c r="Q28" s="5">
        <f t="shared" si="1"/>
        <v>9.27</v>
      </c>
      <c r="R28" s="5">
        <f t="shared" si="1"/>
        <v>6.5</v>
      </c>
      <c r="S28" s="5">
        <f t="shared" si="4"/>
        <v>5.75</v>
      </c>
      <c r="T28" s="5">
        <f t="shared" si="4"/>
        <v>3.69</v>
      </c>
      <c r="U28" s="5">
        <f t="shared" si="4"/>
        <v>2.28</v>
      </c>
      <c r="V28" s="5">
        <f t="shared" si="4"/>
        <v>2.04</v>
      </c>
      <c r="W28" s="5">
        <f t="shared" si="4"/>
        <v>1.69</v>
      </c>
      <c r="X28" s="5">
        <f t="shared" si="4"/>
        <v>1.42</v>
      </c>
      <c r="Y28" s="5">
        <f t="shared" si="4"/>
        <v>1.17</v>
      </c>
      <c r="Z28" s="5">
        <f t="shared" si="4"/>
        <v>1.23</v>
      </c>
      <c r="AA28" s="5">
        <f t="shared" si="4"/>
        <v>1.18</v>
      </c>
      <c r="AB28" s="5">
        <f t="shared" si="4"/>
        <v>1.15</v>
      </c>
      <c r="AC28" s="5">
        <f t="shared" si="4"/>
        <v>0.93</v>
      </c>
      <c r="AD28" s="5">
        <f t="shared" si="4"/>
        <v>0.89</v>
      </c>
      <c r="AE28" s="5">
        <f t="shared" si="4"/>
        <v>0.85</v>
      </c>
      <c r="AF28" s="5">
        <f t="shared" si="4"/>
        <v>0.78</v>
      </c>
      <c r="AG28" s="5">
        <f t="shared" si="4"/>
        <v>0.75</v>
      </c>
      <c r="AH28" s="5">
        <f t="shared" si="4"/>
        <v>0.72</v>
      </c>
      <c r="AI28" s="5">
        <f t="shared" si="3"/>
        <v>0.69</v>
      </c>
      <c r="AJ28" s="5">
        <f t="shared" si="3"/>
        <v>0.66</v>
      </c>
    </row>
    <row r="29" spans="1:36">
      <c r="A29" t="str">
        <f>"electricity_archetype_"&amp;TEXT(ROUND(Table2[[#This Row],[2016]],1),"0.0")</f>
        <v>electricity_archetype_17.8</v>
      </c>
      <c r="B29" s="5">
        <f t="shared" si="2"/>
        <v>17.8</v>
      </c>
      <c r="C29" s="5">
        <f t="shared" si="1"/>
        <v>17.8</v>
      </c>
      <c r="D29" s="5">
        <f t="shared" si="1"/>
        <v>17.8</v>
      </c>
      <c r="E29" s="5">
        <f t="shared" si="1"/>
        <v>17.31</v>
      </c>
      <c r="F29" s="5">
        <f t="shared" si="1"/>
        <v>16.12</v>
      </c>
      <c r="G29" s="5">
        <f t="shared" si="1"/>
        <v>16.47</v>
      </c>
      <c r="H29" s="5">
        <f t="shared" si="1"/>
        <v>15.86</v>
      </c>
      <c r="I29" s="5">
        <f t="shared" si="1"/>
        <v>14.89</v>
      </c>
      <c r="J29" s="5">
        <f t="shared" si="1"/>
        <v>14.38</v>
      </c>
      <c r="K29" s="5">
        <f t="shared" si="1"/>
        <v>13.83</v>
      </c>
      <c r="L29" s="5">
        <f t="shared" si="1"/>
        <v>13.45</v>
      </c>
      <c r="M29" s="5">
        <f t="shared" si="1"/>
        <v>13.41</v>
      </c>
      <c r="N29" s="5">
        <f t="shared" si="1"/>
        <v>12.71</v>
      </c>
      <c r="O29" s="5">
        <f t="shared" si="1"/>
        <v>12.02</v>
      </c>
      <c r="P29" s="5">
        <f t="shared" si="1"/>
        <v>11.41</v>
      </c>
      <c r="Q29" s="5">
        <f t="shared" si="1"/>
        <v>9.22</v>
      </c>
      <c r="R29" s="5">
        <f t="shared" si="1"/>
        <v>6.47</v>
      </c>
      <c r="S29" s="5">
        <f t="shared" si="4"/>
        <v>5.72</v>
      </c>
      <c r="T29" s="5">
        <f t="shared" si="4"/>
        <v>3.67</v>
      </c>
      <c r="U29" s="5">
        <f t="shared" si="4"/>
        <v>2.27</v>
      </c>
      <c r="V29" s="5">
        <f t="shared" si="4"/>
        <v>2.03</v>
      </c>
      <c r="W29" s="5">
        <f t="shared" si="4"/>
        <v>1.68</v>
      </c>
      <c r="X29" s="5">
        <f t="shared" si="4"/>
        <v>1.42</v>
      </c>
      <c r="Y29" s="5">
        <f t="shared" si="4"/>
        <v>1.17</v>
      </c>
      <c r="Z29" s="5">
        <f t="shared" si="4"/>
        <v>1.23</v>
      </c>
      <c r="AA29" s="5">
        <f t="shared" si="4"/>
        <v>1.18</v>
      </c>
      <c r="AB29" s="5">
        <f t="shared" si="4"/>
        <v>1.14</v>
      </c>
      <c r="AC29" s="5">
        <f t="shared" si="4"/>
        <v>0.93</v>
      </c>
      <c r="AD29" s="5">
        <f t="shared" si="4"/>
        <v>0.89</v>
      </c>
      <c r="AE29" s="5">
        <f t="shared" si="4"/>
        <v>0.85</v>
      </c>
      <c r="AF29" s="5">
        <f t="shared" si="4"/>
        <v>0.78</v>
      </c>
      <c r="AG29" s="5">
        <f t="shared" si="4"/>
        <v>0.75</v>
      </c>
      <c r="AH29" s="5">
        <f t="shared" si="4"/>
        <v>0.72</v>
      </c>
      <c r="AI29" s="5">
        <f t="shared" si="3"/>
        <v>0.69</v>
      </c>
      <c r="AJ29" s="5">
        <f t="shared" si="3"/>
        <v>0.66</v>
      </c>
    </row>
    <row r="30" spans="1:36">
      <c r="A30" t="str">
        <f>"electricity_archetype_"&amp;TEXT(ROUND(Table2[[#This Row],[2016]],1),"0.0")</f>
        <v>electricity_archetype_17.7</v>
      </c>
      <c r="B30" s="5">
        <f t="shared" si="2"/>
        <v>17.7</v>
      </c>
      <c r="C30" s="5">
        <f t="shared" si="1"/>
        <v>17.7</v>
      </c>
      <c r="D30" s="5">
        <f t="shared" si="1"/>
        <v>17.7</v>
      </c>
      <c r="E30" s="5">
        <f t="shared" si="1"/>
        <v>17.21</v>
      </c>
      <c r="F30" s="5">
        <f t="shared" si="1"/>
        <v>16.03</v>
      </c>
      <c r="G30" s="5">
        <f t="shared" si="1"/>
        <v>16.38</v>
      </c>
      <c r="H30" s="5">
        <f t="shared" si="1"/>
        <v>15.77</v>
      </c>
      <c r="I30" s="5">
        <f t="shared" si="1"/>
        <v>14.81</v>
      </c>
      <c r="J30" s="5">
        <f t="shared" si="1"/>
        <v>14.3</v>
      </c>
      <c r="K30" s="5">
        <f t="shared" ref="K30:Z45" si="5">MROUND((($B30-$AJ$2)*((K$2-$AJ$2)/($B$2-$AJ$2)))+$AJ$2,0.01)</f>
        <v>13.76</v>
      </c>
      <c r="L30" s="5">
        <f t="shared" si="5"/>
        <v>13.38</v>
      </c>
      <c r="M30" s="5">
        <f t="shared" si="5"/>
        <v>13.33</v>
      </c>
      <c r="N30" s="5">
        <f t="shared" si="5"/>
        <v>12.64</v>
      </c>
      <c r="O30" s="5">
        <f t="shared" si="5"/>
        <v>11.95</v>
      </c>
      <c r="P30" s="5">
        <f t="shared" si="5"/>
        <v>11.35</v>
      </c>
      <c r="Q30" s="5">
        <f t="shared" si="5"/>
        <v>9.17</v>
      </c>
      <c r="R30" s="5">
        <f t="shared" si="5"/>
        <v>6.44</v>
      </c>
      <c r="S30" s="5">
        <f t="shared" si="5"/>
        <v>5.69</v>
      </c>
      <c r="T30" s="5">
        <f t="shared" si="5"/>
        <v>3.65</v>
      </c>
      <c r="U30" s="5">
        <f t="shared" si="5"/>
        <v>2.27</v>
      </c>
      <c r="V30" s="5">
        <f t="shared" si="5"/>
        <v>2.03</v>
      </c>
      <c r="W30" s="5">
        <f t="shared" si="5"/>
        <v>1.68</v>
      </c>
      <c r="X30" s="5">
        <f t="shared" si="5"/>
        <v>1.41</v>
      </c>
      <c r="Y30" s="5">
        <f t="shared" si="5"/>
        <v>1.16</v>
      </c>
      <c r="Z30" s="5">
        <f t="shared" si="5"/>
        <v>1.22</v>
      </c>
      <c r="AA30" s="5">
        <f t="shared" si="4"/>
        <v>1.17</v>
      </c>
      <c r="AB30" s="5">
        <f t="shared" si="4"/>
        <v>1.14</v>
      </c>
      <c r="AC30" s="5">
        <f t="shared" si="4"/>
        <v>0.93</v>
      </c>
      <c r="AD30" s="5">
        <f t="shared" si="4"/>
        <v>0.89</v>
      </c>
      <c r="AE30" s="5">
        <f t="shared" si="4"/>
        <v>0.85</v>
      </c>
      <c r="AF30" s="5">
        <f t="shared" si="4"/>
        <v>0.78</v>
      </c>
      <c r="AG30" s="5">
        <f t="shared" si="4"/>
        <v>0.75</v>
      </c>
      <c r="AH30" s="5">
        <f t="shared" si="4"/>
        <v>0.72</v>
      </c>
      <c r="AI30" s="5">
        <f t="shared" si="3"/>
        <v>0.69</v>
      </c>
      <c r="AJ30" s="5">
        <f t="shared" si="3"/>
        <v>0.66</v>
      </c>
    </row>
    <row r="31" spans="1:36">
      <c r="A31" t="str">
        <f>"electricity_archetype_"&amp;TEXT(ROUND(Table2[[#This Row],[2016]],1),"0.0")</f>
        <v>electricity_archetype_17.6</v>
      </c>
      <c r="B31" s="5">
        <f t="shared" si="2"/>
        <v>17.6</v>
      </c>
      <c r="C31" s="5">
        <f t="shared" ref="C31:R46" si="6">MROUND((($B31-$AJ$2)*((C$2-$AJ$2)/($B$2-$AJ$2)))+$AJ$2,0.01)</f>
        <v>17.6</v>
      </c>
      <c r="D31" s="5">
        <f t="shared" si="6"/>
        <v>17.6</v>
      </c>
      <c r="E31" s="5">
        <f t="shared" si="6"/>
        <v>17.12</v>
      </c>
      <c r="F31" s="5">
        <f t="shared" si="6"/>
        <v>15.94</v>
      </c>
      <c r="G31" s="5">
        <f t="shared" si="6"/>
        <v>16.28</v>
      </c>
      <c r="H31" s="5">
        <f t="shared" si="6"/>
        <v>15.68</v>
      </c>
      <c r="I31" s="5">
        <f t="shared" si="6"/>
        <v>14.72</v>
      </c>
      <c r="J31" s="5">
        <f t="shared" si="6"/>
        <v>14.22</v>
      </c>
      <c r="K31" s="5">
        <f t="shared" si="6"/>
        <v>13.68</v>
      </c>
      <c r="L31" s="5">
        <f t="shared" si="6"/>
        <v>13.3</v>
      </c>
      <c r="M31" s="5">
        <f t="shared" si="6"/>
        <v>13.26</v>
      </c>
      <c r="N31" s="5">
        <f t="shared" si="6"/>
        <v>12.57</v>
      </c>
      <c r="O31" s="5">
        <f t="shared" si="6"/>
        <v>11.88</v>
      </c>
      <c r="P31" s="5">
        <f t="shared" si="6"/>
        <v>11.29</v>
      </c>
      <c r="Q31" s="5">
        <f t="shared" si="6"/>
        <v>9.12</v>
      </c>
      <c r="R31" s="5">
        <f t="shared" si="6"/>
        <v>6.4</v>
      </c>
      <c r="S31" s="5">
        <f t="shared" si="5"/>
        <v>5.66</v>
      </c>
      <c r="T31" s="5">
        <f t="shared" si="5"/>
        <v>3.63</v>
      </c>
      <c r="U31" s="5">
        <f t="shared" si="5"/>
        <v>2.26</v>
      </c>
      <c r="V31" s="5">
        <f t="shared" si="5"/>
        <v>2.02</v>
      </c>
      <c r="W31" s="5">
        <f t="shared" si="5"/>
        <v>1.67</v>
      </c>
      <c r="X31" s="5">
        <f t="shared" si="5"/>
        <v>1.41</v>
      </c>
      <c r="Y31" s="5">
        <f t="shared" si="5"/>
        <v>1.16</v>
      </c>
      <c r="Z31" s="5">
        <f t="shared" si="5"/>
        <v>1.22</v>
      </c>
      <c r="AA31" s="5">
        <f t="shared" si="4"/>
        <v>1.17</v>
      </c>
      <c r="AB31" s="5">
        <f t="shared" si="4"/>
        <v>1.14</v>
      </c>
      <c r="AC31" s="5">
        <f t="shared" si="4"/>
        <v>0.93</v>
      </c>
      <c r="AD31" s="5">
        <f t="shared" si="4"/>
        <v>0.89</v>
      </c>
      <c r="AE31" s="5">
        <f t="shared" si="4"/>
        <v>0.85</v>
      </c>
      <c r="AF31" s="5">
        <f t="shared" si="4"/>
        <v>0.78</v>
      </c>
      <c r="AG31" s="5">
        <f t="shared" si="4"/>
        <v>0.75</v>
      </c>
      <c r="AH31" s="5">
        <f t="shared" ref="AH31:AJ31" si="7">MROUND((($B31-$AJ$2)*((AH$2-$AJ$2)/($B$2-$AJ$2)))+$AJ$2,0.01)</f>
        <v>0.72</v>
      </c>
      <c r="AI31" s="5">
        <f t="shared" si="7"/>
        <v>0.69</v>
      </c>
      <c r="AJ31" s="5">
        <f t="shared" si="7"/>
        <v>0.66</v>
      </c>
    </row>
    <row r="32" spans="1:36">
      <c r="A32" t="str">
        <f>"electricity_archetype_"&amp;TEXT(ROUND(Table2[[#This Row],[2016]],1),"0.0")</f>
        <v>electricity_archetype_17.5</v>
      </c>
      <c r="B32" s="5">
        <f t="shared" si="2"/>
        <v>17.5</v>
      </c>
      <c r="C32" s="5">
        <f t="shared" si="6"/>
        <v>17.5</v>
      </c>
      <c r="D32" s="5">
        <f t="shared" si="6"/>
        <v>17.5</v>
      </c>
      <c r="E32" s="5">
        <f t="shared" si="6"/>
        <v>17.02</v>
      </c>
      <c r="F32" s="5">
        <f t="shared" si="6"/>
        <v>15.85</v>
      </c>
      <c r="G32" s="5">
        <f t="shared" si="6"/>
        <v>16.19</v>
      </c>
      <c r="H32" s="5">
        <f t="shared" si="6"/>
        <v>15.6</v>
      </c>
      <c r="I32" s="5">
        <f t="shared" si="6"/>
        <v>14.64</v>
      </c>
      <c r="J32" s="5">
        <f t="shared" si="6"/>
        <v>14.14</v>
      </c>
      <c r="K32" s="5">
        <f t="shared" si="6"/>
        <v>13.6</v>
      </c>
      <c r="L32" s="5">
        <f t="shared" si="6"/>
        <v>13.23</v>
      </c>
      <c r="M32" s="5">
        <f t="shared" si="6"/>
        <v>13.18</v>
      </c>
      <c r="N32" s="5">
        <f t="shared" si="6"/>
        <v>12.5</v>
      </c>
      <c r="O32" s="5">
        <f t="shared" si="6"/>
        <v>11.82</v>
      </c>
      <c r="P32" s="5">
        <f t="shared" si="6"/>
        <v>11.23</v>
      </c>
      <c r="Q32" s="5">
        <f t="shared" si="6"/>
        <v>9.07</v>
      </c>
      <c r="R32" s="5">
        <f t="shared" si="6"/>
        <v>6.37</v>
      </c>
      <c r="S32" s="5">
        <f t="shared" si="5"/>
        <v>5.63</v>
      </c>
      <c r="T32" s="5">
        <f t="shared" si="5"/>
        <v>3.62</v>
      </c>
      <c r="U32" s="5">
        <f t="shared" si="5"/>
        <v>2.25</v>
      </c>
      <c r="V32" s="5">
        <f t="shared" si="5"/>
        <v>2.01</v>
      </c>
      <c r="W32" s="5">
        <f t="shared" si="5"/>
        <v>1.67</v>
      </c>
      <c r="X32" s="5">
        <f t="shared" si="5"/>
        <v>1.41</v>
      </c>
      <c r="Y32" s="5">
        <f t="shared" si="5"/>
        <v>1.16</v>
      </c>
      <c r="Z32" s="5">
        <f t="shared" si="5"/>
        <v>1.22</v>
      </c>
      <c r="AA32" s="5">
        <f t="shared" ref="AA32:AJ84" si="8">MROUND((($B32-$AJ$2)*((AA$2-$AJ$2)/($B$2-$AJ$2)))+$AJ$2,0.01)</f>
        <v>1.17</v>
      </c>
      <c r="AB32" s="5">
        <f t="shared" si="8"/>
        <v>1.14</v>
      </c>
      <c r="AC32" s="5">
        <f t="shared" si="8"/>
        <v>0.92</v>
      </c>
      <c r="AD32" s="5">
        <f t="shared" si="8"/>
        <v>0.89</v>
      </c>
      <c r="AE32" s="5">
        <f t="shared" si="8"/>
        <v>0.85</v>
      </c>
      <c r="AF32" s="5">
        <f t="shared" si="8"/>
        <v>0.78</v>
      </c>
      <c r="AG32" s="5">
        <f t="shared" si="8"/>
        <v>0.75</v>
      </c>
      <c r="AH32" s="5">
        <f t="shared" si="8"/>
        <v>0.72</v>
      </c>
      <c r="AI32" s="5">
        <f t="shared" si="8"/>
        <v>0.69</v>
      </c>
      <c r="AJ32" s="5">
        <f t="shared" si="8"/>
        <v>0.66</v>
      </c>
    </row>
    <row r="33" spans="1:36">
      <c r="A33" t="str">
        <f>"electricity_archetype_"&amp;TEXT(ROUND(Table2[[#This Row],[2016]],1),"0.0")</f>
        <v>electricity_archetype_17.4</v>
      </c>
      <c r="B33" s="5">
        <f t="shared" si="2"/>
        <v>17.4</v>
      </c>
      <c r="C33" s="5">
        <f t="shared" si="6"/>
        <v>17.4</v>
      </c>
      <c r="D33" s="5">
        <f t="shared" si="6"/>
        <v>17.4</v>
      </c>
      <c r="E33" s="5">
        <f t="shared" si="6"/>
        <v>16.92</v>
      </c>
      <c r="F33" s="5">
        <f t="shared" si="6"/>
        <v>15.76</v>
      </c>
      <c r="G33" s="5">
        <f t="shared" si="6"/>
        <v>16.1</v>
      </c>
      <c r="H33" s="5">
        <f t="shared" si="6"/>
        <v>15.51</v>
      </c>
      <c r="I33" s="5">
        <f t="shared" si="6"/>
        <v>14.56</v>
      </c>
      <c r="J33" s="5">
        <f t="shared" si="6"/>
        <v>14.06</v>
      </c>
      <c r="K33" s="5">
        <f t="shared" si="6"/>
        <v>13.53</v>
      </c>
      <c r="L33" s="5">
        <f t="shared" si="6"/>
        <v>13.15</v>
      </c>
      <c r="M33" s="5">
        <f t="shared" si="6"/>
        <v>13.11</v>
      </c>
      <c r="N33" s="5">
        <f t="shared" si="6"/>
        <v>12.43</v>
      </c>
      <c r="O33" s="5">
        <f t="shared" si="6"/>
        <v>11.75</v>
      </c>
      <c r="P33" s="5">
        <f t="shared" si="6"/>
        <v>11.16</v>
      </c>
      <c r="Q33" s="5">
        <f t="shared" si="6"/>
        <v>9.02</v>
      </c>
      <c r="R33" s="5">
        <f t="shared" si="6"/>
        <v>6.33</v>
      </c>
      <c r="S33" s="5">
        <f t="shared" si="5"/>
        <v>5.6</v>
      </c>
      <c r="T33" s="5">
        <f t="shared" si="5"/>
        <v>3.6</v>
      </c>
      <c r="U33" s="5">
        <f t="shared" si="5"/>
        <v>2.24</v>
      </c>
      <c r="V33" s="5">
        <f t="shared" si="5"/>
        <v>2</v>
      </c>
      <c r="W33" s="5">
        <f t="shared" si="5"/>
        <v>1.66</v>
      </c>
      <c r="X33" s="5">
        <f t="shared" si="5"/>
        <v>1.4</v>
      </c>
      <c r="Y33" s="5">
        <f t="shared" si="5"/>
        <v>1.15</v>
      </c>
      <c r="Z33" s="5">
        <f t="shared" si="5"/>
        <v>1.21</v>
      </c>
      <c r="AA33" s="5">
        <f t="shared" si="8"/>
        <v>1.16</v>
      </c>
      <c r="AB33" s="5">
        <f t="shared" si="8"/>
        <v>1.13</v>
      </c>
      <c r="AC33" s="5">
        <f t="shared" si="8"/>
        <v>0.92</v>
      </c>
      <c r="AD33" s="5">
        <f t="shared" si="8"/>
        <v>0.89</v>
      </c>
      <c r="AE33" s="5">
        <f t="shared" si="8"/>
        <v>0.85</v>
      </c>
      <c r="AF33" s="5">
        <f t="shared" si="8"/>
        <v>0.78</v>
      </c>
      <c r="AG33" s="5">
        <f t="shared" si="8"/>
        <v>0.75</v>
      </c>
      <c r="AH33" s="5">
        <f t="shared" si="8"/>
        <v>0.72</v>
      </c>
      <c r="AI33" s="5">
        <f t="shared" si="8"/>
        <v>0.69</v>
      </c>
      <c r="AJ33" s="5">
        <f t="shared" si="8"/>
        <v>0.66</v>
      </c>
    </row>
    <row r="34" spans="1:36">
      <c r="A34" t="str">
        <f>"electricity_archetype_"&amp;TEXT(ROUND(Table2[[#This Row],[2016]],1),"0.0")</f>
        <v>electricity_archetype_17.3</v>
      </c>
      <c r="B34" s="5">
        <f t="shared" si="2"/>
        <v>17.3</v>
      </c>
      <c r="C34" s="5">
        <f t="shared" si="6"/>
        <v>17.3</v>
      </c>
      <c r="D34" s="5">
        <f t="shared" si="6"/>
        <v>17.3</v>
      </c>
      <c r="E34" s="5">
        <f t="shared" si="6"/>
        <v>16.82</v>
      </c>
      <c r="F34" s="5">
        <f t="shared" si="6"/>
        <v>15.67</v>
      </c>
      <c r="G34" s="5">
        <f t="shared" si="6"/>
        <v>16.01</v>
      </c>
      <c r="H34" s="5">
        <f t="shared" si="6"/>
        <v>15.42</v>
      </c>
      <c r="I34" s="5">
        <f t="shared" si="6"/>
        <v>14.48</v>
      </c>
      <c r="J34" s="5">
        <f t="shared" si="6"/>
        <v>13.98</v>
      </c>
      <c r="K34" s="5">
        <f t="shared" si="6"/>
        <v>13.45</v>
      </c>
      <c r="L34" s="5">
        <f t="shared" si="6"/>
        <v>13.08</v>
      </c>
      <c r="M34" s="5">
        <f t="shared" si="6"/>
        <v>13.04</v>
      </c>
      <c r="N34" s="5">
        <f t="shared" si="6"/>
        <v>12.36</v>
      </c>
      <c r="O34" s="5">
        <f t="shared" si="6"/>
        <v>11.68</v>
      </c>
      <c r="P34" s="5">
        <f t="shared" si="6"/>
        <v>11.1</v>
      </c>
      <c r="Q34" s="5">
        <f t="shared" si="6"/>
        <v>8.97</v>
      </c>
      <c r="R34" s="5">
        <f t="shared" si="6"/>
        <v>6.3</v>
      </c>
      <c r="S34" s="5">
        <f t="shared" si="5"/>
        <v>5.57</v>
      </c>
      <c r="T34" s="5">
        <f t="shared" si="5"/>
        <v>3.58</v>
      </c>
      <c r="U34" s="5">
        <f t="shared" si="5"/>
        <v>2.23</v>
      </c>
      <c r="V34" s="5">
        <f t="shared" si="5"/>
        <v>1.99</v>
      </c>
      <c r="W34" s="5">
        <f t="shared" si="5"/>
        <v>1.65</v>
      </c>
      <c r="X34" s="5">
        <f t="shared" si="5"/>
        <v>1.4</v>
      </c>
      <c r="Y34" s="5">
        <f t="shared" si="5"/>
        <v>1.15</v>
      </c>
      <c r="Z34" s="5">
        <f t="shared" si="5"/>
        <v>1.21</v>
      </c>
      <c r="AA34" s="5">
        <f t="shared" si="8"/>
        <v>1.16</v>
      </c>
      <c r="AB34" s="5">
        <f t="shared" si="8"/>
        <v>1.13</v>
      </c>
      <c r="AC34" s="5">
        <f t="shared" si="8"/>
        <v>0.92</v>
      </c>
      <c r="AD34" s="5">
        <f t="shared" si="8"/>
        <v>0.88</v>
      </c>
      <c r="AE34" s="5">
        <f t="shared" si="8"/>
        <v>0.84</v>
      </c>
      <c r="AF34" s="5">
        <f t="shared" si="8"/>
        <v>0.78</v>
      </c>
      <c r="AG34" s="5">
        <f t="shared" si="8"/>
        <v>0.75</v>
      </c>
      <c r="AH34" s="5">
        <f t="shared" si="8"/>
        <v>0.72</v>
      </c>
      <c r="AI34" s="5">
        <f t="shared" si="8"/>
        <v>0.69</v>
      </c>
      <c r="AJ34" s="5">
        <f t="shared" si="8"/>
        <v>0.66</v>
      </c>
    </row>
    <row r="35" spans="1:36">
      <c r="A35" t="str">
        <f>"electricity_archetype_"&amp;TEXT(ROUND(Table2[[#This Row],[2016]],1),"0.0")</f>
        <v>electricity_archetype_17.2</v>
      </c>
      <c r="B35" s="5">
        <f t="shared" si="2"/>
        <v>17.2</v>
      </c>
      <c r="C35" s="5">
        <f t="shared" si="6"/>
        <v>17.2</v>
      </c>
      <c r="D35" s="5">
        <f t="shared" si="6"/>
        <v>17.2</v>
      </c>
      <c r="E35" s="5">
        <f t="shared" si="6"/>
        <v>16.73</v>
      </c>
      <c r="F35" s="5">
        <f t="shared" si="6"/>
        <v>15.58</v>
      </c>
      <c r="G35" s="5">
        <f t="shared" si="6"/>
        <v>15.91</v>
      </c>
      <c r="H35" s="5">
        <f t="shared" si="6"/>
        <v>15.33</v>
      </c>
      <c r="I35" s="5">
        <f t="shared" si="6"/>
        <v>14.39</v>
      </c>
      <c r="J35" s="5">
        <f t="shared" si="6"/>
        <v>13.9</v>
      </c>
      <c r="K35" s="5">
        <f t="shared" si="6"/>
        <v>13.37</v>
      </c>
      <c r="L35" s="5">
        <f t="shared" si="6"/>
        <v>13</v>
      </c>
      <c r="M35" s="5">
        <f t="shared" si="6"/>
        <v>12.96</v>
      </c>
      <c r="N35" s="5">
        <f t="shared" si="6"/>
        <v>12.29</v>
      </c>
      <c r="O35" s="5">
        <f t="shared" si="6"/>
        <v>11.62</v>
      </c>
      <c r="P35" s="5">
        <f t="shared" si="6"/>
        <v>11.04</v>
      </c>
      <c r="Q35" s="5">
        <f t="shared" si="6"/>
        <v>8.92</v>
      </c>
      <c r="R35" s="5">
        <f t="shared" si="6"/>
        <v>6.27</v>
      </c>
      <c r="S35" s="5">
        <f t="shared" si="5"/>
        <v>5.54</v>
      </c>
      <c r="T35" s="5">
        <f t="shared" si="5"/>
        <v>3.56</v>
      </c>
      <c r="U35" s="5">
        <f t="shared" si="5"/>
        <v>2.22</v>
      </c>
      <c r="V35" s="5">
        <f t="shared" si="5"/>
        <v>1.99</v>
      </c>
      <c r="W35" s="5">
        <f t="shared" si="5"/>
        <v>1.65</v>
      </c>
      <c r="X35" s="5">
        <f t="shared" si="5"/>
        <v>1.39</v>
      </c>
      <c r="Y35" s="5">
        <f t="shared" si="5"/>
        <v>1.15</v>
      </c>
      <c r="Z35" s="5">
        <f t="shared" si="5"/>
        <v>1.21</v>
      </c>
      <c r="AA35" s="5">
        <f t="shared" si="8"/>
        <v>1.16</v>
      </c>
      <c r="AB35" s="5">
        <f t="shared" si="8"/>
        <v>1.13</v>
      </c>
      <c r="AC35" s="5">
        <f t="shared" si="8"/>
        <v>0.92</v>
      </c>
      <c r="AD35" s="5">
        <f t="shared" si="8"/>
        <v>0.88</v>
      </c>
      <c r="AE35" s="5">
        <f t="shared" si="8"/>
        <v>0.84</v>
      </c>
      <c r="AF35" s="5">
        <f t="shared" si="8"/>
        <v>0.78</v>
      </c>
      <c r="AG35" s="5">
        <f t="shared" si="8"/>
        <v>0.75</v>
      </c>
      <c r="AH35" s="5">
        <f t="shared" si="8"/>
        <v>0.72</v>
      </c>
      <c r="AI35" s="5">
        <f t="shared" si="8"/>
        <v>0.69</v>
      </c>
      <c r="AJ35" s="5">
        <f t="shared" si="8"/>
        <v>0.66</v>
      </c>
    </row>
    <row r="36" spans="1:36">
      <c r="A36" t="str">
        <f>"electricity_archetype_"&amp;TEXT(ROUND(Table2[[#This Row],[2016]],1),"0.0")</f>
        <v>electricity_archetype_17.1</v>
      </c>
      <c r="B36" s="5">
        <f t="shared" si="2"/>
        <v>17.1</v>
      </c>
      <c r="C36" s="5">
        <f t="shared" si="6"/>
        <v>17.1</v>
      </c>
      <c r="D36" s="5">
        <f t="shared" si="6"/>
        <v>17.1</v>
      </c>
      <c r="E36" s="5">
        <f t="shared" si="6"/>
        <v>16.63</v>
      </c>
      <c r="F36" s="5">
        <f t="shared" si="6"/>
        <v>15.49</v>
      </c>
      <c r="G36" s="5">
        <f t="shared" si="6"/>
        <v>15.82</v>
      </c>
      <c r="H36" s="5">
        <f t="shared" si="6"/>
        <v>15.24</v>
      </c>
      <c r="I36" s="5">
        <f t="shared" si="6"/>
        <v>14.31</v>
      </c>
      <c r="J36" s="5">
        <f t="shared" si="6"/>
        <v>13.82</v>
      </c>
      <c r="K36" s="5">
        <f t="shared" si="6"/>
        <v>13.3</v>
      </c>
      <c r="L36" s="5">
        <f t="shared" si="6"/>
        <v>12.93</v>
      </c>
      <c r="M36" s="5">
        <f t="shared" si="6"/>
        <v>12.89</v>
      </c>
      <c r="N36" s="5">
        <f t="shared" si="6"/>
        <v>12.22</v>
      </c>
      <c r="O36" s="5">
        <f t="shared" si="6"/>
        <v>11.55</v>
      </c>
      <c r="P36" s="5">
        <f t="shared" si="6"/>
        <v>10.98</v>
      </c>
      <c r="Q36" s="5">
        <f t="shared" si="6"/>
        <v>8.87</v>
      </c>
      <c r="R36" s="5">
        <f t="shared" si="6"/>
        <v>6.23</v>
      </c>
      <c r="S36" s="5">
        <f t="shared" si="5"/>
        <v>5.51</v>
      </c>
      <c r="T36" s="5">
        <f t="shared" si="5"/>
        <v>3.55</v>
      </c>
      <c r="U36" s="5">
        <f t="shared" si="5"/>
        <v>2.21</v>
      </c>
      <c r="V36" s="5">
        <f t="shared" si="5"/>
        <v>1.98</v>
      </c>
      <c r="W36" s="5">
        <f t="shared" si="5"/>
        <v>1.64</v>
      </c>
      <c r="X36" s="5">
        <f t="shared" si="5"/>
        <v>1.39</v>
      </c>
      <c r="Y36" s="5">
        <f t="shared" si="5"/>
        <v>1.15</v>
      </c>
      <c r="Z36" s="5">
        <f t="shared" si="5"/>
        <v>1.2</v>
      </c>
      <c r="AA36" s="5">
        <f t="shared" si="8"/>
        <v>1.15</v>
      </c>
      <c r="AB36" s="5">
        <f t="shared" si="8"/>
        <v>1.12</v>
      </c>
      <c r="AC36" s="5">
        <f t="shared" si="8"/>
        <v>0.92</v>
      </c>
      <c r="AD36" s="5">
        <f t="shared" si="8"/>
        <v>0.88</v>
      </c>
      <c r="AE36" s="5">
        <f t="shared" si="8"/>
        <v>0.84</v>
      </c>
      <c r="AF36" s="5">
        <f t="shared" si="8"/>
        <v>0.77</v>
      </c>
      <c r="AG36" s="5">
        <f t="shared" si="8"/>
        <v>0.75</v>
      </c>
      <c r="AH36" s="5">
        <f t="shared" si="8"/>
        <v>0.72</v>
      </c>
      <c r="AI36" s="5">
        <f t="shared" si="8"/>
        <v>0.69</v>
      </c>
      <c r="AJ36" s="5">
        <f t="shared" si="8"/>
        <v>0.66</v>
      </c>
    </row>
    <row r="37" spans="1:36">
      <c r="A37" t="str">
        <f>"electricity_archetype_"&amp;TEXT(ROUND(Table2[[#This Row],[2016]],1),"0.0")</f>
        <v>electricity_archetype_17.0</v>
      </c>
      <c r="B37" s="5">
        <f t="shared" si="2"/>
        <v>17</v>
      </c>
      <c r="C37" s="5">
        <f t="shared" si="6"/>
        <v>17</v>
      </c>
      <c r="D37" s="5">
        <f t="shared" si="6"/>
        <v>17</v>
      </c>
      <c r="E37" s="5">
        <f t="shared" si="6"/>
        <v>16.53</v>
      </c>
      <c r="F37" s="5">
        <f t="shared" si="6"/>
        <v>15.4</v>
      </c>
      <c r="G37" s="5">
        <f t="shared" si="6"/>
        <v>15.73</v>
      </c>
      <c r="H37" s="5">
        <f t="shared" si="6"/>
        <v>15.15</v>
      </c>
      <c r="I37" s="5">
        <f t="shared" si="6"/>
        <v>14.23</v>
      </c>
      <c r="J37" s="5">
        <f t="shared" si="6"/>
        <v>13.74</v>
      </c>
      <c r="K37" s="5">
        <f t="shared" si="6"/>
        <v>13.22</v>
      </c>
      <c r="L37" s="5">
        <f t="shared" si="6"/>
        <v>12.85</v>
      </c>
      <c r="M37" s="5">
        <f t="shared" si="6"/>
        <v>12.81</v>
      </c>
      <c r="N37" s="5">
        <f t="shared" si="6"/>
        <v>12.15</v>
      </c>
      <c r="O37" s="5">
        <f t="shared" si="6"/>
        <v>11.49</v>
      </c>
      <c r="P37" s="5">
        <f t="shared" si="6"/>
        <v>10.91</v>
      </c>
      <c r="Q37" s="5">
        <f t="shared" si="6"/>
        <v>8.82</v>
      </c>
      <c r="R37" s="5">
        <f t="shared" si="6"/>
        <v>6.2</v>
      </c>
      <c r="S37" s="5">
        <f t="shared" si="5"/>
        <v>5.48</v>
      </c>
      <c r="T37" s="5">
        <f t="shared" si="5"/>
        <v>3.53</v>
      </c>
      <c r="U37" s="5">
        <f t="shared" si="5"/>
        <v>2.2</v>
      </c>
      <c r="V37" s="5">
        <f t="shared" si="5"/>
        <v>1.97</v>
      </c>
      <c r="W37" s="5">
        <f t="shared" si="5"/>
        <v>1.64</v>
      </c>
      <c r="X37" s="5">
        <f t="shared" si="5"/>
        <v>1.38</v>
      </c>
      <c r="Y37" s="5">
        <f t="shared" si="5"/>
        <v>1.14</v>
      </c>
      <c r="Z37" s="5">
        <f t="shared" si="5"/>
        <v>1.2</v>
      </c>
      <c r="AA37" s="5">
        <f t="shared" si="8"/>
        <v>1.15</v>
      </c>
      <c r="AB37" s="5">
        <f t="shared" si="8"/>
        <v>1.12</v>
      </c>
      <c r="AC37" s="5">
        <f t="shared" si="8"/>
        <v>0.92</v>
      </c>
      <c r="AD37" s="5">
        <f t="shared" si="8"/>
        <v>0.88</v>
      </c>
      <c r="AE37" s="5">
        <f t="shared" si="8"/>
        <v>0.84</v>
      </c>
      <c r="AF37" s="5">
        <f t="shared" si="8"/>
        <v>0.77</v>
      </c>
      <c r="AG37" s="5">
        <f t="shared" si="8"/>
        <v>0.74</v>
      </c>
      <c r="AH37" s="5">
        <f t="shared" si="8"/>
        <v>0.72</v>
      </c>
      <c r="AI37" s="5">
        <f t="shared" si="8"/>
        <v>0.69</v>
      </c>
      <c r="AJ37" s="5">
        <f t="shared" si="8"/>
        <v>0.66</v>
      </c>
    </row>
    <row r="38" spans="1:36">
      <c r="A38" t="str">
        <f>"electricity_archetype_"&amp;TEXT(ROUND(Table2[[#This Row],[2016]],1),"0.0")</f>
        <v>electricity_archetype_16.9</v>
      </c>
      <c r="B38" s="5">
        <f t="shared" si="2"/>
        <v>16.9</v>
      </c>
      <c r="C38" s="5">
        <f t="shared" si="6"/>
        <v>16.9</v>
      </c>
      <c r="D38" s="5">
        <f t="shared" si="6"/>
        <v>16.9</v>
      </c>
      <c r="E38" s="5">
        <f t="shared" si="6"/>
        <v>16.44</v>
      </c>
      <c r="F38" s="5">
        <f t="shared" si="6"/>
        <v>15.31</v>
      </c>
      <c r="G38" s="5">
        <f t="shared" si="6"/>
        <v>15.64</v>
      </c>
      <c r="H38" s="5">
        <f t="shared" si="6"/>
        <v>15.06</v>
      </c>
      <c r="I38" s="5">
        <f t="shared" si="6"/>
        <v>14.14</v>
      </c>
      <c r="J38" s="5">
        <f t="shared" si="6"/>
        <v>13.66</v>
      </c>
      <c r="K38" s="5">
        <f t="shared" si="6"/>
        <v>13.14</v>
      </c>
      <c r="L38" s="5">
        <f t="shared" si="6"/>
        <v>12.78</v>
      </c>
      <c r="M38" s="5">
        <f t="shared" si="6"/>
        <v>12.74</v>
      </c>
      <c r="N38" s="5">
        <f t="shared" si="6"/>
        <v>12.08</v>
      </c>
      <c r="O38" s="5">
        <f t="shared" si="6"/>
        <v>11.42</v>
      </c>
      <c r="P38" s="5">
        <f t="shared" si="6"/>
        <v>10.85</v>
      </c>
      <c r="Q38" s="5">
        <f t="shared" si="6"/>
        <v>8.77</v>
      </c>
      <c r="R38" s="5">
        <f t="shared" si="6"/>
        <v>6.16</v>
      </c>
      <c r="S38" s="5">
        <f t="shared" si="5"/>
        <v>5.45</v>
      </c>
      <c r="T38" s="5">
        <f t="shared" si="5"/>
        <v>3.51</v>
      </c>
      <c r="U38" s="5">
        <f t="shared" si="5"/>
        <v>2.19</v>
      </c>
      <c r="V38" s="5">
        <f t="shared" si="5"/>
        <v>1.96</v>
      </c>
      <c r="W38" s="5">
        <f t="shared" si="5"/>
        <v>1.63</v>
      </c>
      <c r="X38" s="5">
        <f t="shared" si="5"/>
        <v>1.38</v>
      </c>
      <c r="Y38" s="5">
        <f t="shared" si="5"/>
        <v>1.14</v>
      </c>
      <c r="Z38" s="5">
        <f t="shared" si="5"/>
        <v>1.2</v>
      </c>
      <c r="AA38" s="5">
        <f t="shared" si="8"/>
        <v>1.15</v>
      </c>
      <c r="AB38" s="5">
        <f t="shared" si="8"/>
        <v>1.12</v>
      </c>
      <c r="AC38" s="5">
        <f t="shared" si="8"/>
        <v>0.91</v>
      </c>
      <c r="AD38" s="5">
        <f t="shared" si="8"/>
        <v>0.88</v>
      </c>
      <c r="AE38" s="5">
        <f t="shared" si="8"/>
        <v>0.84</v>
      </c>
      <c r="AF38" s="5">
        <f t="shared" si="8"/>
        <v>0.77</v>
      </c>
      <c r="AG38" s="5">
        <f t="shared" si="8"/>
        <v>0.74</v>
      </c>
      <c r="AH38" s="5">
        <f t="shared" si="8"/>
        <v>0.72</v>
      </c>
      <c r="AI38" s="5">
        <f t="shared" si="8"/>
        <v>0.69</v>
      </c>
      <c r="AJ38" s="5">
        <f t="shared" si="8"/>
        <v>0.66</v>
      </c>
    </row>
    <row r="39" spans="1:36">
      <c r="A39" t="str">
        <f>"electricity_archetype_"&amp;TEXT(ROUND(Table2[[#This Row],[2016]],1),"0.0")</f>
        <v>electricity_archetype_16.8</v>
      </c>
      <c r="B39" s="5">
        <f t="shared" si="2"/>
        <v>16.8</v>
      </c>
      <c r="C39" s="5">
        <f t="shared" si="6"/>
        <v>16.8</v>
      </c>
      <c r="D39" s="5">
        <f t="shared" si="6"/>
        <v>16.8</v>
      </c>
      <c r="E39" s="5">
        <f t="shared" si="6"/>
        <v>16.34</v>
      </c>
      <c r="F39" s="5">
        <f t="shared" si="6"/>
        <v>15.22</v>
      </c>
      <c r="G39" s="5">
        <f t="shared" si="6"/>
        <v>15.55</v>
      </c>
      <c r="H39" s="5">
        <f t="shared" si="6"/>
        <v>14.98</v>
      </c>
      <c r="I39" s="5">
        <f t="shared" si="6"/>
        <v>14.06</v>
      </c>
      <c r="J39" s="5">
        <f t="shared" si="6"/>
        <v>13.58</v>
      </c>
      <c r="K39" s="5">
        <f t="shared" si="6"/>
        <v>13.06</v>
      </c>
      <c r="L39" s="5">
        <f t="shared" si="6"/>
        <v>12.7</v>
      </c>
      <c r="M39" s="5">
        <f t="shared" si="6"/>
        <v>12.66</v>
      </c>
      <c r="N39" s="5">
        <f t="shared" si="6"/>
        <v>12.01</v>
      </c>
      <c r="O39" s="5">
        <f t="shared" si="6"/>
        <v>11.35</v>
      </c>
      <c r="P39" s="5">
        <f t="shared" si="6"/>
        <v>10.79</v>
      </c>
      <c r="Q39" s="5">
        <f t="shared" si="6"/>
        <v>8.72</v>
      </c>
      <c r="R39" s="5">
        <f t="shared" si="6"/>
        <v>6.13</v>
      </c>
      <c r="S39" s="5">
        <f t="shared" si="5"/>
        <v>5.42</v>
      </c>
      <c r="T39" s="5">
        <f t="shared" si="5"/>
        <v>3.49</v>
      </c>
      <c r="U39" s="5">
        <f t="shared" si="5"/>
        <v>2.18</v>
      </c>
      <c r="V39" s="5">
        <f t="shared" si="5"/>
        <v>1.95</v>
      </c>
      <c r="W39" s="5">
        <f t="shared" si="5"/>
        <v>1.62</v>
      </c>
      <c r="X39" s="5">
        <f t="shared" si="5"/>
        <v>1.37</v>
      </c>
      <c r="Y39" s="5">
        <f t="shared" si="5"/>
        <v>1.14</v>
      </c>
      <c r="Z39" s="5">
        <f t="shared" si="5"/>
        <v>1.19</v>
      </c>
      <c r="AA39" s="5">
        <f t="shared" si="8"/>
        <v>1.15</v>
      </c>
      <c r="AB39" s="5">
        <f t="shared" si="8"/>
        <v>1.12</v>
      </c>
      <c r="AC39" s="5">
        <f t="shared" si="8"/>
        <v>0.91</v>
      </c>
      <c r="AD39" s="5">
        <f t="shared" si="8"/>
        <v>0.88</v>
      </c>
      <c r="AE39" s="5">
        <f t="shared" si="8"/>
        <v>0.84</v>
      </c>
      <c r="AF39" s="5">
        <f t="shared" si="8"/>
        <v>0.77</v>
      </c>
      <c r="AG39" s="5">
        <f t="shared" si="8"/>
        <v>0.74</v>
      </c>
      <c r="AH39" s="5">
        <f t="shared" si="8"/>
        <v>0.71</v>
      </c>
      <c r="AI39" s="5">
        <f t="shared" si="8"/>
        <v>0.69</v>
      </c>
      <c r="AJ39" s="5">
        <f t="shared" si="8"/>
        <v>0.66</v>
      </c>
    </row>
    <row r="40" spans="1:36">
      <c r="A40" t="str">
        <f>"electricity_archetype_"&amp;TEXT(ROUND(Table2[[#This Row],[2016]],1),"0.0")</f>
        <v>electricity_archetype_16.7</v>
      </c>
      <c r="B40" s="5">
        <f t="shared" si="2"/>
        <v>16.7</v>
      </c>
      <c r="C40" s="5">
        <f t="shared" si="6"/>
        <v>16.7</v>
      </c>
      <c r="D40" s="5">
        <f t="shared" si="6"/>
        <v>16.7</v>
      </c>
      <c r="E40" s="5">
        <f t="shared" si="6"/>
        <v>16.24</v>
      </c>
      <c r="F40" s="5">
        <f t="shared" si="6"/>
        <v>15.13</v>
      </c>
      <c r="G40" s="5">
        <f t="shared" si="6"/>
        <v>15.45</v>
      </c>
      <c r="H40" s="5">
        <f t="shared" si="6"/>
        <v>14.89</v>
      </c>
      <c r="I40" s="5">
        <f t="shared" si="6"/>
        <v>13.98</v>
      </c>
      <c r="J40" s="5">
        <f t="shared" si="6"/>
        <v>13.5</v>
      </c>
      <c r="K40" s="5">
        <f t="shared" si="6"/>
        <v>12.99</v>
      </c>
      <c r="L40" s="5">
        <f t="shared" si="6"/>
        <v>12.63</v>
      </c>
      <c r="M40" s="5">
        <f t="shared" si="6"/>
        <v>12.59</v>
      </c>
      <c r="N40" s="5">
        <f t="shared" si="6"/>
        <v>11.94</v>
      </c>
      <c r="O40" s="5">
        <f t="shared" si="6"/>
        <v>11.29</v>
      </c>
      <c r="P40" s="5">
        <f t="shared" si="6"/>
        <v>10.72</v>
      </c>
      <c r="Q40" s="5">
        <f t="shared" si="6"/>
        <v>8.67</v>
      </c>
      <c r="R40" s="5">
        <f t="shared" si="6"/>
        <v>6.1</v>
      </c>
      <c r="S40" s="5">
        <f t="shared" si="5"/>
        <v>5.39</v>
      </c>
      <c r="T40" s="5">
        <f t="shared" si="5"/>
        <v>3.48</v>
      </c>
      <c r="U40" s="5">
        <f t="shared" si="5"/>
        <v>2.17</v>
      </c>
      <c r="V40" s="5">
        <f t="shared" si="5"/>
        <v>1.95</v>
      </c>
      <c r="W40" s="5">
        <f t="shared" si="5"/>
        <v>1.62</v>
      </c>
      <c r="X40" s="5">
        <f t="shared" si="5"/>
        <v>1.37</v>
      </c>
      <c r="Y40" s="5">
        <f t="shared" si="5"/>
        <v>1.13</v>
      </c>
      <c r="Z40" s="5">
        <f t="shared" si="5"/>
        <v>1.19</v>
      </c>
      <c r="AA40" s="5">
        <f t="shared" si="8"/>
        <v>1.14</v>
      </c>
      <c r="AB40" s="5">
        <f t="shared" si="8"/>
        <v>1.11</v>
      </c>
      <c r="AC40" s="5">
        <f t="shared" si="8"/>
        <v>0.91</v>
      </c>
      <c r="AD40" s="5">
        <f t="shared" si="8"/>
        <v>0.88</v>
      </c>
      <c r="AE40" s="5">
        <f t="shared" si="8"/>
        <v>0.84</v>
      </c>
      <c r="AF40" s="5">
        <f t="shared" si="8"/>
        <v>0.77</v>
      </c>
      <c r="AG40" s="5">
        <f t="shared" si="8"/>
        <v>0.74</v>
      </c>
      <c r="AH40" s="5">
        <f t="shared" si="8"/>
        <v>0.71</v>
      </c>
      <c r="AI40" s="5">
        <f t="shared" si="8"/>
        <v>0.69</v>
      </c>
      <c r="AJ40" s="5">
        <f t="shared" si="8"/>
        <v>0.66</v>
      </c>
    </row>
    <row r="41" spans="1:36">
      <c r="A41" t="str">
        <f>"electricity_archetype_"&amp;TEXT(ROUND(Table2[[#This Row],[2016]],1),"0.0")</f>
        <v>electricity_archetype_16.6</v>
      </c>
      <c r="B41" s="5">
        <f t="shared" si="2"/>
        <v>16.6</v>
      </c>
      <c r="C41" s="5">
        <f t="shared" si="6"/>
        <v>16.6</v>
      </c>
      <c r="D41" s="5">
        <f t="shared" si="6"/>
        <v>16.6</v>
      </c>
      <c r="E41" s="5">
        <f t="shared" si="6"/>
        <v>16.14</v>
      </c>
      <c r="F41" s="5">
        <f t="shared" si="6"/>
        <v>15.04</v>
      </c>
      <c r="G41" s="5">
        <f t="shared" si="6"/>
        <v>15.36</v>
      </c>
      <c r="H41" s="5">
        <f t="shared" si="6"/>
        <v>14.8</v>
      </c>
      <c r="I41" s="5">
        <f t="shared" si="6"/>
        <v>13.89</v>
      </c>
      <c r="J41" s="5">
        <f t="shared" si="6"/>
        <v>13.42</v>
      </c>
      <c r="K41" s="5">
        <f t="shared" si="6"/>
        <v>12.91</v>
      </c>
      <c r="L41" s="5">
        <f t="shared" si="6"/>
        <v>12.55</v>
      </c>
      <c r="M41" s="5">
        <f t="shared" si="6"/>
        <v>12.52</v>
      </c>
      <c r="N41" s="5">
        <f t="shared" si="6"/>
        <v>11.87</v>
      </c>
      <c r="O41" s="5">
        <f t="shared" si="6"/>
        <v>11.22</v>
      </c>
      <c r="P41" s="5">
        <f t="shared" si="6"/>
        <v>10.66</v>
      </c>
      <c r="Q41" s="5">
        <f t="shared" si="6"/>
        <v>8.62</v>
      </c>
      <c r="R41" s="5">
        <f t="shared" si="6"/>
        <v>6.06</v>
      </c>
      <c r="S41" s="5">
        <f t="shared" si="5"/>
        <v>5.36</v>
      </c>
      <c r="T41" s="5">
        <f t="shared" si="5"/>
        <v>3.46</v>
      </c>
      <c r="U41" s="5">
        <f t="shared" si="5"/>
        <v>2.16</v>
      </c>
      <c r="V41" s="5">
        <f t="shared" si="5"/>
        <v>1.94</v>
      </c>
      <c r="W41" s="5">
        <f t="shared" si="5"/>
        <v>1.61</v>
      </c>
      <c r="X41" s="5">
        <f t="shared" si="5"/>
        <v>1.37</v>
      </c>
      <c r="Y41" s="5">
        <f t="shared" si="5"/>
        <v>1.13</v>
      </c>
      <c r="Z41" s="5">
        <f t="shared" si="5"/>
        <v>1.19</v>
      </c>
      <c r="AA41" s="5">
        <f t="shared" si="8"/>
        <v>1.14</v>
      </c>
      <c r="AB41" s="5">
        <f t="shared" si="8"/>
        <v>1.11</v>
      </c>
      <c r="AC41" s="5">
        <f t="shared" si="8"/>
        <v>0.91</v>
      </c>
      <c r="AD41" s="5">
        <f t="shared" si="8"/>
        <v>0.88</v>
      </c>
      <c r="AE41" s="5">
        <f t="shared" si="8"/>
        <v>0.84</v>
      </c>
      <c r="AF41" s="5">
        <f t="shared" si="8"/>
        <v>0.77</v>
      </c>
      <c r="AG41" s="5">
        <f t="shared" si="8"/>
        <v>0.74</v>
      </c>
      <c r="AH41" s="5">
        <f t="shared" si="8"/>
        <v>0.71</v>
      </c>
      <c r="AI41" s="5">
        <f t="shared" si="8"/>
        <v>0.69</v>
      </c>
      <c r="AJ41" s="5">
        <f t="shared" si="8"/>
        <v>0.66</v>
      </c>
    </row>
    <row r="42" spans="1:36">
      <c r="A42" t="str">
        <f>"electricity_archetype_"&amp;TEXT(ROUND(Table2[[#This Row],[2016]],1),"0.0")</f>
        <v>electricity_archetype_16.5</v>
      </c>
      <c r="B42" s="5">
        <f t="shared" si="2"/>
        <v>16.5</v>
      </c>
      <c r="C42" s="5">
        <f t="shared" si="6"/>
        <v>16.5</v>
      </c>
      <c r="D42" s="5">
        <f t="shared" si="6"/>
        <v>16.5</v>
      </c>
      <c r="E42" s="5">
        <f t="shared" si="6"/>
        <v>16.05</v>
      </c>
      <c r="F42" s="5">
        <f t="shared" si="6"/>
        <v>14.95</v>
      </c>
      <c r="G42" s="5">
        <f t="shared" si="6"/>
        <v>15.27</v>
      </c>
      <c r="H42" s="5">
        <f t="shared" si="6"/>
        <v>14.71</v>
      </c>
      <c r="I42" s="5">
        <f t="shared" si="6"/>
        <v>13.81</v>
      </c>
      <c r="J42" s="5">
        <f t="shared" si="6"/>
        <v>13.34</v>
      </c>
      <c r="K42" s="5">
        <f t="shared" si="6"/>
        <v>12.83</v>
      </c>
      <c r="L42" s="5">
        <f t="shared" si="6"/>
        <v>12.48</v>
      </c>
      <c r="M42" s="5">
        <f t="shared" si="6"/>
        <v>12.44</v>
      </c>
      <c r="N42" s="5">
        <f t="shared" si="6"/>
        <v>11.8</v>
      </c>
      <c r="O42" s="5">
        <f t="shared" si="6"/>
        <v>11.15</v>
      </c>
      <c r="P42" s="5">
        <f t="shared" si="6"/>
        <v>10.6</v>
      </c>
      <c r="Q42" s="5">
        <f t="shared" si="6"/>
        <v>8.57</v>
      </c>
      <c r="R42" s="5">
        <f t="shared" si="6"/>
        <v>6.03</v>
      </c>
      <c r="S42" s="5">
        <f t="shared" si="5"/>
        <v>5.33</v>
      </c>
      <c r="T42" s="5">
        <f t="shared" si="5"/>
        <v>3.44</v>
      </c>
      <c r="U42" s="5">
        <f t="shared" si="5"/>
        <v>2.15</v>
      </c>
      <c r="V42" s="5">
        <f t="shared" si="5"/>
        <v>1.93</v>
      </c>
      <c r="W42" s="5">
        <f t="shared" si="5"/>
        <v>1.61</v>
      </c>
      <c r="X42" s="5">
        <f t="shared" si="5"/>
        <v>1.36</v>
      </c>
      <c r="Y42" s="5">
        <f t="shared" si="5"/>
        <v>1.13</v>
      </c>
      <c r="Z42" s="5">
        <f t="shared" si="5"/>
        <v>1.18</v>
      </c>
      <c r="AA42" s="5">
        <f t="shared" si="8"/>
        <v>1.14</v>
      </c>
      <c r="AB42" s="5">
        <f t="shared" si="8"/>
        <v>1.11</v>
      </c>
      <c r="AC42" s="5">
        <f t="shared" si="8"/>
        <v>0.91</v>
      </c>
      <c r="AD42" s="5">
        <f t="shared" si="8"/>
        <v>0.87</v>
      </c>
      <c r="AE42" s="5">
        <f t="shared" si="8"/>
        <v>0.84</v>
      </c>
      <c r="AF42" s="5">
        <f t="shared" si="8"/>
        <v>0.77</v>
      </c>
      <c r="AG42" s="5">
        <f t="shared" si="8"/>
        <v>0.74</v>
      </c>
      <c r="AH42" s="5">
        <f t="shared" si="8"/>
        <v>0.71</v>
      </c>
      <c r="AI42" s="5">
        <f t="shared" si="8"/>
        <v>0.69</v>
      </c>
      <c r="AJ42" s="5">
        <f t="shared" si="8"/>
        <v>0.66</v>
      </c>
    </row>
    <row r="43" spans="1:36">
      <c r="A43" t="str">
        <f>"electricity_archetype_"&amp;TEXT(ROUND(Table2[[#This Row],[2016]],1),"0.0")</f>
        <v>electricity_archetype_16.4</v>
      </c>
      <c r="B43" s="5">
        <f t="shared" si="2"/>
        <v>16.4</v>
      </c>
      <c r="C43" s="5">
        <f t="shared" si="6"/>
        <v>16.4</v>
      </c>
      <c r="D43" s="5">
        <f t="shared" si="6"/>
        <v>16.4</v>
      </c>
      <c r="E43" s="5">
        <f t="shared" si="6"/>
        <v>15.95</v>
      </c>
      <c r="F43" s="5">
        <f t="shared" si="6"/>
        <v>14.86</v>
      </c>
      <c r="G43" s="5">
        <f t="shared" si="6"/>
        <v>15.18</v>
      </c>
      <c r="H43" s="5">
        <f t="shared" si="6"/>
        <v>14.62</v>
      </c>
      <c r="I43" s="5">
        <f t="shared" si="6"/>
        <v>13.73</v>
      </c>
      <c r="J43" s="5">
        <f t="shared" si="6"/>
        <v>13.26</v>
      </c>
      <c r="K43" s="5">
        <f t="shared" si="6"/>
        <v>12.76</v>
      </c>
      <c r="L43" s="5">
        <f t="shared" si="6"/>
        <v>12.41</v>
      </c>
      <c r="M43" s="5">
        <f t="shared" si="6"/>
        <v>12.37</v>
      </c>
      <c r="N43" s="5">
        <f t="shared" si="6"/>
        <v>11.73</v>
      </c>
      <c r="O43" s="5">
        <f t="shared" si="6"/>
        <v>11.09</v>
      </c>
      <c r="P43" s="5">
        <f t="shared" si="6"/>
        <v>10.54</v>
      </c>
      <c r="Q43" s="5">
        <f t="shared" si="6"/>
        <v>8.52</v>
      </c>
      <c r="R43" s="5">
        <f t="shared" si="6"/>
        <v>5.99</v>
      </c>
      <c r="S43" s="5">
        <f t="shared" si="5"/>
        <v>5.3</v>
      </c>
      <c r="T43" s="5">
        <f t="shared" si="5"/>
        <v>3.42</v>
      </c>
      <c r="U43" s="5">
        <f t="shared" si="5"/>
        <v>2.14</v>
      </c>
      <c r="V43" s="5">
        <f t="shared" si="5"/>
        <v>1.92</v>
      </c>
      <c r="W43" s="5">
        <f t="shared" si="5"/>
        <v>1.6</v>
      </c>
      <c r="X43" s="5">
        <f t="shared" si="5"/>
        <v>1.36</v>
      </c>
      <c r="Y43" s="5">
        <f t="shared" si="5"/>
        <v>1.12</v>
      </c>
      <c r="Z43" s="5">
        <f t="shared" si="5"/>
        <v>1.18</v>
      </c>
      <c r="AA43" s="5">
        <f t="shared" si="8"/>
        <v>1.13</v>
      </c>
      <c r="AB43" s="5">
        <f t="shared" si="8"/>
        <v>1.11</v>
      </c>
      <c r="AC43" s="5">
        <f t="shared" si="8"/>
        <v>0.91</v>
      </c>
      <c r="AD43" s="5">
        <f t="shared" si="8"/>
        <v>0.87</v>
      </c>
      <c r="AE43" s="5">
        <f t="shared" si="8"/>
        <v>0.83</v>
      </c>
      <c r="AF43" s="5">
        <f t="shared" si="8"/>
        <v>0.77</v>
      </c>
      <c r="AG43" s="5">
        <f t="shared" si="8"/>
        <v>0.74</v>
      </c>
      <c r="AH43" s="5">
        <f t="shared" si="8"/>
        <v>0.71</v>
      </c>
      <c r="AI43" s="5">
        <f t="shared" si="8"/>
        <v>0.69</v>
      </c>
      <c r="AJ43" s="5">
        <f t="shared" si="8"/>
        <v>0.66</v>
      </c>
    </row>
    <row r="44" spans="1:36">
      <c r="A44" t="str">
        <f>"electricity_archetype_"&amp;TEXT(ROUND(Table2[[#This Row],[2016]],1),"0.0")</f>
        <v>electricity_archetype_16.3</v>
      </c>
      <c r="B44" s="5">
        <f t="shared" si="2"/>
        <v>16.3</v>
      </c>
      <c r="C44" s="5">
        <f t="shared" si="6"/>
        <v>16.3</v>
      </c>
      <c r="D44" s="5">
        <f t="shared" si="6"/>
        <v>16.3</v>
      </c>
      <c r="E44" s="5">
        <f t="shared" si="6"/>
        <v>15.85</v>
      </c>
      <c r="F44" s="5">
        <f t="shared" si="6"/>
        <v>14.77</v>
      </c>
      <c r="G44" s="5">
        <f t="shared" si="6"/>
        <v>15.08</v>
      </c>
      <c r="H44" s="5">
        <f t="shared" si="6"/>
        <v>14.53</v>
      </c>
      <c r="I44" s="5">
        <f t="shared" si="6"/>
        <v>13.64</v>
      </c>
      <c r="J44" s="5">
        <f t="shared" si="6"/>
        <v>13.18</v>
      </c>
      <c r="K44" s="5">
        <f t="shared" si="6"/>
        <v>12.68</v>
      </c>
      <c r="L44" s="5">
        <f t="shared" si="6"/>
        <v>12.33</v>
      </c>
      <c r="M44" s="5">
        <f t="shared" si="6"/>
        <v>12.29</v>
      </c>
      <c r="N44" s="5">
        <f t="shared" si="6"/>
        <v>11.66</v>
      </c>
      <c r="O44" s="5">
        <f t="shared" si="6"/>
        <v>11.02</v>
      </c>
      <c r="P44" s="5">
        <f t="shared" si="6"/>
        <v>10.47</v>
      </c>
      <c r="Q44" s="5">
        <f t="shared" si="6"/>
        <v>8.47</v>
      </c>
      <c r="R44" s="5">
        <f t="shared" si="6"/>
        <v>5.96</v>
      </c>
      <c r="S44" s="5">
        <f t="shared" si="5"/>
        <v>5.27</v>
      </c>
      <c r="T44" s="5">
        <f t="shared" si="5"/>
        <v>3.41</v>
      </c>
      <c r="U44" s="5">
        <f t="shared" si="5"/>
        <v>2.13</v>
      </c>
      <c r="V44" s="5">
        <f t="shared" si="5"/>
        <v>1.91</v>
      </c>
      <c r="W44" s="5">
        <f t="shared" si="5"/>
        <v>1.59</v>
      </c>
      <c r="X44" s="5">
        <f t="shared" si="5"/>
        <v>1.35</v>
      </c>
      <c r="Y44" s="5">
        <f t="shared" si="5"/>
        <v>1.12</v>
      </c>
      <c r="Z44" s="5">
        <f t="shared" si="5"/>
        <v>1.18</v>
      </c>
      <c r="AA44" s="5">
        <f t="shared" si="8"/>
        <v>1.13</v>
      </c>
      <c r="AB44" s="5">
        <f t="shared" si="8"/>
        <v>1.1</v>
      </c>
      <c r="AC44" s="5">
        <f t="shared" si="8"/>
        <v>0.9</v>
      </c>
      <c r="AD44" s="5">
        <f t="shared" si="8"/>
        <v>0.87</v>
      </c>
      <c r="AE44" s="5">
        <f t="shared" si="8"/>
        <v>0.83</v>
      </c>
      <c r="AF44" s="5">
        <f t="shared" si="8"/>
        <v>0.77</v>
      </c>
      <c r="AG44" s="5">
        <f t="shared" si="8"/>
        <v>0.74</v>
      </c>
      <c r="AH44" s="5">
        <f t="shared" si="8"/>
        <v>0.71</v>
      </c>
      <c r="AI44" s="5">
        <f t="shared" si="8"/>
        <v>0.69</v>
      </c>
      <c r="AJ44" s="5">
        <f t="shared" si="8"/>
        <v>0.66</v>
      </c>
    </row>
    <row r="45" spans="1:36">
      <c r="A45" t="str">
        <f>"electricity_archetype_"&amp;TEXT(ROUND(Table2[[#This Row],[2016]],1),"0.0")</f>
        <v>electricity_archetype_16.2</v>
      </c>
      <c r="B45" s="5">
        <f t="shared" si="2"/>
        <v>16.2</v>
      </c>
      <c r="C45" s="5">
        <f t="shared" si="6"/>
        <v>16.2</v>
      </c>
      <c r="D45" s="5">
        <f t="shared" si="6"/>
        <v>16.2</v>
      </c>
      <c r="E45" s="5">
        <f t="shared" si="6"/>
        <v>15.76</v>
      </c>
      <c r="F45" s="5">
        <f t="shared" si="6"/>
        <v>14.68</v>
      </c>
      <c r="G45" s="5">
        <f t="shared" si="6"/>
        <v>14.99</v>
      </c>
      <c r="H45" s="5">
        <f t="shared" si="6"/>
        <v>14.44</v>
      </c>
      <c r="I45" s="5">
        <f t="shared" si="6"/>
        <v>13.56</v>
      </c>
      <c r="J45" s="5">
        <f t="shared" si="6"/>
        <v>13.1</v>
      </c>
      <c r="K45" s="5">
        <f t="shared" si="6"/>
        <v>12.6</v>
      </c>
      <c r="L45" s="5">
        <f t="shared" si="6"/>
        <v>12.26</v>
      </c>
      <c r="M45" s="5">
        <f t="shared" si="6"/>
        <v>12.22</v>
      </c>
      <c r="N45" s="5">
        <f t="shared" si="6"/>
        <v>11.59</v>
      </c>
      <c r="O45" s="5">
        <f t="shared" si="6"/>
        <v>10.96</v>
      </c>
      <c r="P45" s="5">
        <f t="shared" si="6"/>
        <v>10.41</v>
      </c>
      <c r="Q45" s="5">
        <f t="shared" si="6"/>
        <v>8.42</v>
      </c>
      <c r="R45" s="5">
        <f t="shared" si="6"/>
        <v>5.93</v>
      </c>
      <c r="S45" s="5">
        <f t="shared" si="5"/>
        <v>5.24</v>
      </c>
      <c r="T45" s="5">
        <f t="shared" si="5"/>
        <v>3.39</v>
      </c>
      <c r="U45" s="5">
        <f t="shared" si="5"/>
        <v>2.12</v>
      </c>
      <c r="V45" s="5">
        <f t="shared" si="5"/>
        <v>1.91</v>
      </c>
      <c r="W45" s="5">
        <f t="shared" si="5"/>
        <v>1.59</v>
      </c>
      <c r="X45" s="5">
        <f t="shared" si="5"/>
        <v>1.35</v>
      </c>
      <c r="Y45" s="5">
        <f t="shared" si="5"/>
        <v>1.12</v>
      </c>
      <c r="Z45" s="5">
        <f t="shared" si="5"/>
        <v>1.17</v>
      </c>
      <c r="AA45" s="5">
        <f t="shared" si="8"/>
        <v>1.13</v>
      </c>
      <c r="AB45" s="5">
        <f t="shared" si="8"/>
        <v>1.1</v>
      </c>
      <c r="AC45" s="5">
        <f t="shared" si="8"/>
        <v>0.9</v>
      </c>
      <c r="AD45" s="5">
        <f t="shared" si="8"/>
        <v>0.87</v>
      </c>
      <c r="AE45" s="5">
        <f t="shared" si="8"/>
        <v>0.83</v>
      </c>
      <c r="AF45" s="5">
        <f t="shared" si="8"/>
        <v>0.77</v>
      </c>
      <c r="AG45" s="5">
        <f t="shared" si="8"/>
        <v>0.74</v>
      </c>
      <c r="AH45" s="5">
        <f t="shared" si="8"/>
        <v>0.71</v>
      </c>
      <c r="AI45" s="5">
        <f t="shared" si="8"/>
        <v>0.69</v>
      </c>
      <c r="AJ45" s="5">
        <f t="shared" si="8"/>
        <v>0.66</v>
      </c>
    </row>
    <row r="46" spans="1:36">
      <c r="A46" t="str">
        <f>"electricity_archetype_"&amp;TEXT(ROUND(Table2[[#This Row],[2016]],1),"0.0")</f>
        <v>electricity_archetype_16.1</v>
      </c>
      <c r="B46" s="5">
        <f t="shared" si="2"/>
        <v>16.1</v>
      </c>
      <c r="C46" s="5">
        <f t="shared" si="6"/>
        <v>16.1</v>
      </c>
      <c r="D46" s="5">
        <f t="shared" si="6"/>
        <v>16.1</v>
      </c>
      <c r="E46" s="5">
        <f t="shared" si="6"/>
        <v>15.66</v>
      </c>
      <c r="F46" s="5">
        <f t="shared" si="6"/>
        <v>14.59</v>
      </c>
      <c r="G46" s="5">
        <f t="shared" si="6"/>
        <v>14.9</v>
      </c>
      <c r="H46" s="5">
        <f t="shared" si="6"/>
        <v>14.35</v>
      </c>
      <c r="I46" s="5">
        <f t="shared" si="6"/>
        <v>13.48</v>
      </c>
      <c r="J46" s="5">
        <f t="shared" si="6"/>
        <v>13.02</v>
      </c>
      <c r="K46" s="5">
        <f t="shared" si="6"/>
        <v>12.53</v>
      </c>
      <c r="L46" s="5">
        <f t="shared" si="6"/>
        <v>12.18</v>
      </c>
      <c r="M46" s="5">
        <f t="shared" si="6"/>
        <v>12.14</v>
      </c>
      <c r="N46" s="5">
        <f t="shared" si="6"/>
        <v>11.52</v>
      </c>
      <c r="O46" s="5">
        <f t="shared" si="6"/>
        <v>10.89</v>
      </c>
      <c r="P46" s="5">
        <f t="shared" si="6"/>
        <v>10.35</v>
      </c>
      <c r="Q46" s="5">
        <f t="shared" si="6"/>
        <v>8.37</v>
      </c>
      <c r="R46" s="5">
        <f t="shared" ref="R46:AG61" si="9">MROUND((($B46-$AJ$2)*((R$2-$AJ$2)/($B$2-$AJ$2)))+$AJ$2,0.01)</f>
        <v>5.89</v>
      </c>
      <c r="S46" s="5">
        <f t="shared" si="9"/>
        <v>5.21</v>
      </c>
      <c r="T46" s="5">
        <f t="shared" si="9"/>
        <v>3.37</v>
      </c>
      <c r="U46" s="5">
        <f t="shared" si="9"/>
        <v>2.11</v>
      </c>
      <c r="V46" s="5">
        <f t="shared" si="9"/>
        <v>1.9</v>
      </c>
      <c r="W46" s="5">
        <f t="shared" si="9"/>
        <v>1.58</v>
      </c>
      <c r="X46" s="5">
        <f t="shared" si="9"/>
        <v>1.34</v>
      </c>
      <c r="Y46" s="5">
        <f t="shared" si="9"/>
        <v>1.12</v>
      </c>
      <c r="Z46" s="5">
        <f t="shared" si="9"/>
        <v>1.17</v>
      </c>
      <c r="AA46" s="5">
        <f t="shared" si="9"/>
        <v>1.12</v>
      </c>
      <c r="AB46" s="5">
        <f t="shared" si="9"/>
        <v>1.1</v>
      </c>
      <c r="AC46" s="5">
        <f t="shared" si="9"/>
        <v>0.9</v>
      </c>
      <c r="AD46" s="5">
        <f t="shared" si="9"/>
        <v>0.87</v>
      </c>
      <c r="AE46" s="5">
        <f t="shared" si="9"/>
        <v>0.83</v>
      </c>
      <c r="AF46" s="5">
        <f t="shared" si="9"/>
        <v>0.77</v>
      </c>
      <c r="AG46" s="5">
        <f t="shared" si="9"/>
        <v>0.74</v>
      </c>
      <c r="AH46" s="5">
        <f t="shared" si="8"/>
        <v>0.71</v>
      </c>
      <c r="AI46" s="5">
        <f t="shared" si="8"/>
        <v>0.68</v>
      </c>
      <c r="AJ46" s="5">
        <f t="shared" si="8"/>
        <v>0.66</v>
      </c>
    </row>
    <row r="47" spans="1:36">
      <c r="A47" t="str">
        <f>"electricity_archetype_"&amp;TEXT(ROUND(Table2[[#This Row],[2016]],1),"0.0")</f>
        <v>electricity_archetype_16.0</v>
      </c>
      <c r="B47" s="5">
        <f t="shared" si="2"/>
        <v>16</v>
      </c>
      <c r="C47" s="5">
        <f t="shared" ref="C47:R62" si="10">MROUND((($B47-$AJ$2)*((C$2-$AJ$2)/($B$2-$AJ$2)))+$AJ$2,0.01)</f>
        <v>16</v>
      </c>
      <c r="D47" s="5">
        <f t="shared" si="10"/>
        <v>16</v>
      </c>
      <c r="E47" s="5">
        <f t="shared" si="10"/>
        <v>15.56</v>
      </c>
      <c r="F47" s="5">
        <f t="shared" si="10"/>
        <v>14.5</v>
      </c>
      <c r="G47" s="5">
        <f t="shared" si="10"/>
        <v>14.81</v>
      </c>
      <c r="H47" s="5">
        <f t="shared" si="10"/>
        <v>14.27</v>
      </c>
      <c r="I47" s="5">
        <f t="shared" si="10"/>
        <v>13.4</v>
      </c>
      <c r="J47" s="5">
        <f t="shared" si="10"/>
        <v>12.94</v>
      </c>
      <c r="K47" s="5">
        <f t="shared" si="10"/>
        <v>12.45</v>
      </c>
      <c r="L47" s="5">
        <f t="shared" si="10"/>
        <v>12.11</v>
      </c>
      <c r="M47" s="5">
        <f t="shared" si="10"/>
        <v>12.07</v>
      </c>
      <c r="N47" s="5">
        <f t="shared" si="10"/>
        <v>11.45</v>
      </c>
      <c r="O47" s="5">
        <f t="shared" si="10"/>
        <v>10.82</v>
      </c>
      <c r="P47" s="5">
        <f t="shared" si="10"/>
        <v>10.28</v>
      </c>
      <c r="Q47" s="5">
        <f t="shared" si="10"/>
        <v>8.32</v>
      </c>
      <c r="R47" s="5">
        <f t="shared" si="10"/>
        <v>5.86</v>
      </c>
      <c r="S47" s="5">
        <f t="shared" si="9"/>
        <v>5.18</v>
      </c>
      <c r="T47" s="5">
        <f t="shared" si="9"/>
        <v>3.35</v>
      </c>
      <c r="U47" s="5">
        <f t="shared" si="9"/>
        <v>2.1</v>
      </c>
      <c r="V47" s="5">
        <f t="shared" si="9"/>
        <v>1.89</v>
      </c>
      <c r="W47" s="5">
        <f t="shared" si="9"/>
        <v>1.58</v>
      </c>
      <c r="X47" s="5">
        <f t="shared" si="9"/>
        <v>1.34</v>
      </c>
      <c r="Y47" s="5">
        <f t="shared" si="9"/>
        <v>1.11</v>
      </c>
      <c r="Z47" s="5">
        <f t="shared" si="9"/>
        <v>1.17</v>
      </c>
      <c r="AA47" s="5">
        <f t="shared" si="9"/>
        <v>1.12</v>
      </c>
      <c r="AB47" s="5">
        <f t="shared" si="9"/>
        <v>1.09</v>
      </c>
      <c r="AC47" s="5">
        <f t="shared" si="9"/>
        <v>0.9</v>
      </c>
      <c r="AD47" s="5">
        <f t="shared" si="9"/>
        <v>0.87</v>
      </c>
      <c r="AE47" s="5">
        <f t="shared" si="9"/>
        <v>0.83</v>
      </c>
      <c r="AF47" s="5">
        <f t="shared" si="9"/>
        <v>0.77</v>
      </c>
      <c r="AG47" s="5">
        <f t="shared" si="9"/>
        <v>0.74</v>
      </c>
      <c r="AH47" s="5">
        <f t="shared" si="8"/>
        <v>0.71</v>
      </c>
      <c r="AI47" s="5">
        <f t="shared" si="8"/>
        <v>0.68</v>
      </c>
      <c r="AJ47" s="5">
        <f t="shared" si="8"/>
        <v>0.66</v>
      </c>
    </row>
    <row r="48" spans="1:36">
      <c r="A48" t="str">
        <f>"electricity_archetype_"&amp;TEXT(ROUND(Table2[[#This Row],[2016]],1),"0.0")</f>
        <v>electricity_archetype_15.9</v>
      </c>
      <c r="B48" s="5">
        <f t="shared" si="2"/>
        <v>15.9</v>
      </c>
      <c r="C48" s="5">
        <f t="shared" si="10"/>
        <v>15.9</v>
      </c>
      <c r="D48" s="5">
        <f t="shared" si="10"/>
        <v>15.9</v>
      </c>
      <c r="E48" s="5">
        <f t="shared" si="10"/>
        <v>15.46</v>
      </c>
      <c r="F48" s="5">
        <f t="shared" si="10"/>
        <v>14.41</v>
      </c>
      <c r="G48" s="5">
        <f t="shared" si="10"/>
        <v>14.72</v>
      </c>
      <c r="H48" s="5">
        <f t="shared" si="10"/>
        <v>14.18</v>
      </c>
      <c r="I48" s="5">
        <f t="shared" si="10"/>
        <v>13.31</v>
      </c>
      <c r="J48" s="5">
        <f t="shared" si="10"/>
        <v>12.86</v>
      </c>
      <c r="K48" s="5">
        <f t="shared" si="10"/>
        <v>12.37</v>
      </c>
      <c r="L48" s="5">
        <f t="shared" si="10"/>
        <v>12.03</v>
      </c>
      <c r="M48" s="5">
        <f t="shared" si="10"/>
        <v>11.99</v>
      </c>
      <c r="N48" s="5">
        <f t="shared" si="10"/>
        <v>11.38</v>
      </c>
      <c r="O48" s="5">
        <f t="shared" si="10"/>
        <v>10.76</v>
      </c>
      <c r="P48" s="5">
        <f t="shared" si="10"/>
        <v>10.22</v>
      </c>
      <c r="Q48" s="5">
        <f t="shared" si="10"/>
        <v>8.27</v>
      </c>
      <c r="R48" s="5">
        <f t="shared" si="10"/>
        <v>5.82</v>
      </c>
      <c r="S48" s="5">
        <f t="shared" si="9"/>
        <v>5.16</v>
      </c>
      <c r="T48" s="5">
        <f t="shared" si="9"/>
        <v>3.34</v>
      </c>
      <c r="U48" s="5">
        <f t="shared" si="9"/>
        <v>2.1</v>
      </c>
      <c r="V48" s="5">
        <f t="shared" si="9"/>
        <v>1.88</v>
      </c>
      <c r="W48" s="5">
        <f t="shared" si="9"/>
        <v>1.57</v>
      </c>
      <c r="X48" s="5">
        <f t="shared" si="9"/>
        <v>1.33</v>
      </c>
      <c r="Y48" s="5">
        <f t="shared" si="9"/>
        <v>1.11</v>
      </c>
      <c r="Z48" s="5">
        <f t="shared" si="9"/>
        <v>1.16</v>
      </c>
      <c r="AA48" s="5">
        <f t="shared" si="9"/>
        <v>1.12</v>
      </c>
      <c r="AB48" s="5">
        <f t="shared" si="9"/>
        <v>1.09</v>
      </c>
      <c r="AC48" s="5">
        <f t="shared" si="9"/>
        <v>0.9</v>
      </c>
      <c r="AD48" s="5">
        <f t="shared" si="9"/>
        <v>0.87</v>
      </c>
      <c r="AE48" s="5">
        <f t="shared" si="9"/>
        <v>0.83</v>
      </c>
      <c r="AF48" s="5">
        <f t="shared" si="9"/>
        <v>0.77</v>
      </c>
      <c r="AG48" s="5">
        <f t="shared" si="9"/>
        <v>0.74</v>
      </c>
      <c r="AH48" s="5">
        <f t="shared" si="8"/>
        <v>0.71</v>
      </c>
      <c r="AI48" s="5">
        <f t="shared" si="8"/>
        <v>0.68</v>
      </c>
      <c r="AJ48" s="5">
        <f t="shared" si="8"/>
        <v>0.66</v>
      </c>
    </row>
    <row r="49" spans="1:36">
      <c r="A49" t="str">
        <f>"electricity_archetype_"&amp;TEXT(ROUND(Table2[[#This Row],[2016]],1),"0.0")</f>
        <v>electricity_archetype_15.8</v>
      </c>
      <c r="B49" s="5">
        <f t="shared" si="2"/>
        <v>15.8</v>
      </c>
      <c r="C49" s="5">
        <f t="shared" si="10"/>
        <v>15.8</v>
      </c>
      <c r="D49" s="5">
        <f t="shared" si="10"/>
        <v>15.8</v>
      </c>
      <c r="E49" s="5">
        <f t="shared" si="10"/>
        <v>15.37</v>
      </c>
      <c r="F49" s="5">
        <f t="shared" si="10"/>
        <v>14.32</v>
      </c>
      <c r="G49" s="5">
        <f t="shared" si="10"/>
        <v>14.62</v>
      </c>
      <c r="H49" s="5">
        <f t="shared" si="10"/>
        <v>14.09</v>
      </c>
      <c r="I49" s="5">
        <f t="shared" si="10"/>
        <v>13.23</v>
      </c>
      <c r="J49" s="5">
        <f t="shared" si="10"/>
        <v>12.78</v>
      </c>
      <c r="K49" s="5">
        <f t="shared" si="10"/>
        <v>12.3</v>
      </c>
      <c r="L49" s="5">
        <f t="shared" si="10"/>
        <v>11.96</v>
      </c>
      <c r="M49" s="5">
        <f t="shared" si="10"/>
        <v>11.92</v>
      </c>
      <c r="N49" s="5">
        <f t="shared" si="10"/>
        <v>11.31</v>
      </c>
      <c r="O49" s="5">
        <f t="shared" si="10"/>
        <v>10.69</v>
      </c>
      <c r="P49" s="5">
        <f t="shared" si="10"/>
        <v>10.16</v>
      </c>
      <c r="Q49" s="5">
        <f t="shared" si="10"/>
        <v>8.22</v>
      </c>
      <c r="R49" s="5">
        <f t="shared" si="10"/>
        <v>5.79</v>
      </c>
      <c r="S49" s="5">
        <f t="shared" si="9"/>
        <v>5.13</v>
      </c>
      <c r="T49" s="5">
        <f t="shared" si="9"/>
        <v>3.32</v>
      </c>
      <c r="U49" s="5">
        <f t="shared" si="9"/>
        <v>2.09</v>
      </c>
      <c r="V49" s="5">
        <f t="shared" si="9"/>
        <v>1.87</v>
      </c>
      <c r="W49" s="5">
        <f t="shared" si="9"/>
        <v>1.56</v>
      </c>
      <c r="X49" s="5">
        <f t="shared" si="9"/>
        <v>1.33</v>
      </c>
      <c r="Y49" s="5">
        <f t="shared" si="9"/>
        <v>1.11</v>
      </c>
      <c r="Z49" s="5">
        <f t="shared" si="9"/>
        <v>1.16</v>
      </c>
      <c r="AA49" s="5">
        <f t="shared" si="9"/>
        <v>1.12</v>
      </c>
      <c r="AB49" s="5">
        <f t="shared" si="9"/>
        <v>1.09</v>
      </c>
      <c r="AC49" s="5">
        <f t="shared" si="9"/>
        <v>0.9</v>
      </c>
      <c r="AD49" s="5">
        <f t="shared" si="9"/>
        <v>0.86</v>
      </c>
      <c r="AE49" s="5">
        <f t="shared" si="9"/>
        <v>0.83</v>
      </c>
      <c r="AF49" s="5">
        <f t="shared" si="9"/>
        <v>0.77</v>
      </c>
      <c r="AG49" s="5">
        <f t="shared" si="9"/>
        <v>0.74</v>
      </c>
      <c r="AH49" s="5">
        <f t="shared" si="8"/>
        <v>0.71</v>
      </c>
      <c r="AI49" s="5">
        <f t="shared" si="8"/>
        <v>0.68</v>
      </c>
      <c r="AJ49" s="5">
        <f t="shared" si="8"/>
        <v>0.66</v>
      </c>
    </row>
    <row r="50" spans="1:36">
      <c r="A50" t="str">
        <f>"electricity_archetype_"&amp;TEXT(ROUND(Table2[[#This Row],[2016]],1),"0.0")</f>
        <v>electricity_archetype_15.7</v>
      </c>
      <c r="B50" s="5">
        <f t="shared" si="2"/>
        <v>15.7</v>
      </c>
      <c r="C50" s="5">
        <f t="shared" si="10"/>
        <v>15.7</v>
      </c>
      <c r="D50" s="5">
        <f t="shared" si="10"/>
        <v>15.7</v>
      </c>
      <c r="E50" s="5">
        <f t="shared" si="10"/>
        <v>15.27</v>
      </c>
      <c r="F50" s="5">
        <f t="shared" si="10"/>
        <v>14.23</v>
      </c>
      <c r="G50" s="5">
        <f t="shared" si="10"/>
        <v>14.53</v>
      </c>
      <c r="H50" s="5">
        <f t="shared" si="10"/>
        <v>14</v>
      </c>
      <c r="I50" s="5">
        <f t="shared" si="10"/>
        <v>13.15</v>
      </c>
      <c r="J50" s="5">
        <f t="shared" si="10"/>
        <v>12.7</v>
      </c>
      <c r="K50" s="5">
        <f t="shared" si="10"/>
        <v>12.22</v>
      </c>
      <c r="L50" s="5">
        <f t="shared" si="10"/>
        <v>11.88</v>
      </c>
      <c r="M50" s="5">
        <f t="shared" si="10"/>
        <v>11.85</v>
      </c>
      <c r="N50" s="5">
        <f t="shared" si="10"/>
        <v>11.24</v>
      </c>
      <c r="O50" s="5">
        <f t="shared" si="10"/>
        <v>10.62</v>
      </c>
      <c r="P50" s="5">
        <f t="shared" si="10"/>
        <v>10.1</v>
      </c>
      <c r="Q50" s="5">
        <f t="shared" si="10"/>
        <v>8.17</v>
      </c>
      <c r="R50" s="5">
        <f t="shared" si="10"/>
        <v>5.76</v>
      </c>
      <c r="S50" s="5">
        <f t="shared" si="9"/>
        <v>5.1</v>
      </c>
      <c r="T50" s="5">
        <f t="shared" si="9"/>
        <v>3.3</v>
      </c>
      <c r="U50" s="5">
        <f t="shared" si="9"/>
        <v>2.08</v>
      </c>
      <c r="V50" s="5">
        <f t="shared" si="9"/>
        <v>1.86</v>
      </c>
      <c r="W50" s="5">
        <f t="shared" si="9"/>
        <v>1.56</v>
      </c>
      <c r="X50" s="5">
        <f t="shared" si="9"/>
        <v>1.33</v>
      </c>
      <c r="Y50" s="5">
        <f t="shared" si="9"/>
        <v>1.1</v>
      </c>
      <c r="Z50" s="5">
        <f t="shared" si="9"/>
        <v>1.16</v>
      </c>
      <c r="AA50" s="5">
        <f t="shared" si="9"/>
        <v>1.11</v>
      </c>
      <c r="AB50" s="5">
        <f t="shared" si="9"/>
        <v>1.09</v>
      </c>
      <c r="AC50" s="5">
        <f t="shared" si="9"/>
        <v>0.9</v>
      </c>
      <c r="AD50" s="5">
        <f t="shared" si="9"/>
        <v>0.86</v>
      </c>
      <c r="AE50" s="5">
        <f t="shared" si="9"/>
        <v>0.83</v>
      </c>
      <c r="AF50" s="5">
        <f t="shared" si="9"/>
        <v>0.76</v>
      </c>
      <c r="AG50" s="5">
        <f t="shared" si="9"/>
        <v>0.74</v>
      </c>
      <c r="AH50" s="5">
        <f t="shared" si="8"/>
        <v>0.71</v>
      </c>
      <c r="AI50" s="5">
        <f t="shared" si="8"/>
        <v>0.68</v>
      </c>
      <c r="AJ50" s="5">
        <f t="shared" si="8"/>
        <v>0.66</v>
      </c>
    </row>
    <row r="51" spans="1:36">
      <c r="A51" t="str">
        <f>"electricity_archetype_"&amp;TEXT(ROUND(Table2[[#This Row],[2016]],1),"0.0")</f>
        <v>electricity_archetype_15.6</v>
      </c>
      <c r="B51" s="5">
        <f t="shared" si="2"/>
        <v>15.6</v>
      </c>
      <c r="C51" s="5">
        <f t="shared" si="10"/>
        <v>15.6</v>
      </c>
      <c r="D51" s="5">
        <f t="shared" si="10"/>
        <v>15.6</v>
      </c>
      <c r="E51" s="5">
        <f t="shared" si="10"/>
        <v>15.17</v>
      </c>
      <c r="F51" s="5">
        <f t="shared" si="10"/>
        <v>14.14</v>
      </c>
      <c r="G51" s="5">
        <f t="shared" si="10"/>
        <v>14.44</v>
      </c>
      <c r="H51" s="5">
        <f t="shared" si="10"/>
        <v>13.91</v>
      </c>
      <c r="I51" s="5">
        <f t="shared" si="10"/>
        <v>13.06</v>
      </c>
      <c r="J51" s="5">
        <f t="shared" si="10"/>
        <v>12.62</v>
      </c>
      <c r="K51" s="5">
        <f t="shared" si="10"/>
        <v>12.14</v>
      </c>
      <c r="L51" s="5">
        <f t="shared" si="10"/>
        <v>11.81</v>
      </c>
      <c r="M51" s="5">
        <f t="shared" si="10"/>
        <v>11.77</v>
      </c>
      <c r="N51" s="5">
        <f t="shared" si="10"/>
        <v>11.17</v>
      </c>
      <c r="O51" s="5">
        <f t="shared" si="10"/>
        <v>10.56</v>
      </c>
      <c r="P51" s="5">
        <f t="shared" si="10"/>
        <v>10.03</v>
      </c>
      <c r="Q51" s="5">
        <f t="shared" si="10"/>
        <v>8.12</v>
      </c>
      <c r="R51" s="5">
        <f t="shared" si="10"/>
        <v>5.72</v>
      </c>
      <c r="S51" s="5">
        <f t="shared" si="9"/>
        <v>5.07</v>
      </c>
      <c r="T51" s="5">
        <f t="shared" si="9"/>
        <v>3.28</v>
      </c>
      <c r="U51" s="5">
        <f t="shared" si="9"/>
        <v>2.07</v>
      </c>
      <c r="V51" s="5">
        <f t="shared" si="9"/>
        <v>1.86</v>
      </c>
      <c r="W51" s="5">
        <f t="shared" si="9"/>
        <v>1.55</v>
      </c>
      <c r="X51" s="5">
        <f t="shared" si="9"/>
        <v>1.32</v>
      </c>
      <c r="Y51" s="5">
        <f t="shared" si="9"/>
        <v>1.1</v>
      </c>
      <c r="Z51" s="5">
        <f t="shared" si="9"/>
        <v>1.15</v>
      </c>
      <c r="AA51" s="5">
        <f t="shared" si="9"/>
        <v>1.11</v>
      </c>
      <c r="AB51" s="5">
        <f t="shared" si="9"/>
        <v>1.08</v>
      </c>
      <c r="AC51" s="5">
        <f t="shared" si="9"/>
        <v>0.89</v>
      </c>
      <c r="AD51" s="5">
        <f t="shared" si="9"/>
        <v>0.86</v>
      </c>
      <c r="AE51" s="5">
        <f t="shared" si="9"/>
        <v>0.82</v>
      </c>
      <c r="AF51" s="5">
        <f t="shared" si="9"/>
        <v>0.76</v>
      </c>
      <c r="AG51" s="5">
        <f t="shared" si="9"/>
        <v>0.74</v>
      </c>
      <c r="AH51" s="5">
        <f t="shared" si="8"/>
        <v>0.71</v>
      </c>
      <c r="AI51" s="5">
        <f t="shared" si="8"/>
        <v>0.68</v>
      </c>
      <c r="AJ51" s="5">
        <f t="shared" si="8"/>
        <v>0.66</v>
      </c>
    </row>
    <row r="52" spans="1:36">
      <c r="A52" t="str">
        <f>"electricity_archetype_"&amp;TEXT(ROUND(Table2[[#This Row],[2016]],1),"0.0")</f>
        <v>electricity_archetype_15.5</v>
      </c>
      <c r="B52" s="5">
        <f t="shared" si="2"/>
        <v>15.5</v>
      </c>
      <c r="C52" s="5">
        <f t="shared" si="10"/>
        <v>15.5</v>
      </c>
      <c r="D52" s="5">
        <f t="shared" si="10"/>
        <v>15.5</v>
      </c>
      <c r="E52" s="5">
        <f t="shared" si="10"/>
        <v>15.08</v>
      </c>
      <c r="F52" s="5">
        <f t="shared" si="10"/>
        <v>14.05</v>
      </c>
      <c r="G52" s="5">
        <f t="shared" si="10"/>
        <v>14.35</v>
      </c>
      <c r="H52" s="5">
        <f t="shared" si="10"/>
        <v>13.82</v>
      </c>
      <c r="I52" s="5">
        <f t="shared" si="10"/>
        <v>12.98</v>
      </c>
      <c r="J52" s="5">
        <f t="shared" si="10"/>
        <v>12.54</v>
      </c>
      <c r="K52" s="5">
        <f t="shared" si="10"/>
        <v>12.07</v>
      </c>
      <c r="L52" s="5">
        <f t="shared" si="10"/>
        <v>11.73</v>
      </c>
      <c r="M52" s="5">
        <f t="shared" si="10"/>
        <v>11.7</v>
      </c>
      <c r="N52" s="5">
        <f t="shared" si="10"/>
        <v>11.1</v>
      </c>
      <c r="O52" s="5">
        <f t="shared" si="10"/>
        <v>10.49</v>
      </c>
      <c r="P52" s="5">
        <f t="shared" si="10"/>
        <v>9.97</v>
      </c>
      <c r="Q52" s="5">
        <f t="shared" si="10"/>
        <v>8.07</v>
      </c>
      <c r="R52" s="5">
        <f t="shared" si="10"/>
        <v>5.69</v>
      </c>
      <c r="S52" s="5">
        <f t="shared" si="9"/>
        <v>5.04</v>
      </c>
      <c r="T52" s="5">
        <f t="shared" si="9"/>
        <v>3.27</v>
      </c>
      <c r="U52" s="5">
        <f t="shared" si="9"/>
        <v>2.06</v>
      </c>
      <c r="V52" s="5">
        <f t="shared" si="9"/>
        <v>1.85</v>
      </c>
      <c r="W52" s="5">
        <f t="shared" si="9"/>
        <v>1.55</v>
      </c>
      <c r="X52" s="5">
        <f t="shared" si="9"/>
        <v>1.32</v>
      </c>
      <c r="Y52" s="5">
        <f t="shared" si="9"/>
        <v>1.1</v>
      </c>
      <c r="Z52" s="5">
        <f t="shared" si="9"/>
        <v>1.15</v>
      </c>
      <c r="AA52" s="5">
        <f t="shared" si="9"/>
        <v>1.11</v>
      </c>
      <c r="AB52" s="5">
        <f t="shared" si="9"/>
        <v>1.08</v>
      </c>
      <c r="AC52" s="5">
        <f t="shared" si="9"/>
        <v>0.89</v>
      </c>
      <c r="AD52" s="5">
        <f t="shared" si="9"/>
        <v>0.86</v>
      </c>
      <c r="AE52" s="5">
        <f t="shared" si="9"/>
        <v>0.82</v>
      </c>
      <c r="AF52" s="5">
        <f t="shared" si="9"/>
        <v>0.76</v>
      </c>
      <c r="AG52" s="5">
        <f t="shared" si="9"/>
        <v>0.74</v>
      </c>
      <c r="AH52" s="5">
        <f t="shared" si="8"/>
        <v>0.71</v>
      </c>
      <c r="AI52" s="5">
        <f t="shared" si="8"/>
        <v>0.68</v>
      </c>
      <c r="AJ52" s="5">
        <f t="shared" si="8"/>
        <v>0.66</v>
      </c>
    </row>
    <row r="53" spans="1:36">
      <c r="A53" t="str">
        <f>"electricity_archetype_"&amp;TEXT(ROUND(Table2[[#This Row],[2016]],1),"0.0")</f>
        <v>electricity_archetype_15.4</v>
      </c>
      <c r="B53" s="5">
        <f t="shared" si="2"/>
        <v>15.4</v>
      </c>
      <c r="C53" s="5">
        <f t="shared" si="10"/>
        <v>15.4</v>
      </c>
      <c r="D53" s="5">
        <f t="shared" si="10"/>
        <v>15.4</v>
      </c>
      <c r="E53" s="5">
        <f t="shared" si="10"/>
        <v>14.98</v>
      </c>
      <c r="F53" s="5">
        <f t="shared" si="10"/>
        <v>13.96</v>
      </c>
      <c r="G53" s="5">
        <f t="shared" si="10"/>
        <v>14.25</v>
      </c>
      <c r="H53" s="5">
        <f t="shared" si="10"/>
        <v>13.73</v>
      </c>
      <c r="I53" s="5">
        <f t="shared" si="10"/>
        <v>12.9</v>
      </c>
      <c r="J53" s="5">
        <f t="shared" si="10"/>
        <v>12.46</v>
      </c>
      <c r="K53" s="5">
        <f t="shared" si="10"/>
        <v>11.99</v>
      </c>
      <c r="L53" s="5">
        <f t="shared" si="10"/>
        <v>11.66</v>
      </c>
      <c r="M53" s="5">
        <f t="shared" si="10"/>
        <v>11.62</v>
      </c>
      <c r="N53" s="5">
        <f t="shared" si="10"/>
        <v>11.03</v>
      </c>
      <c r="O53" s="5">
        <f t="shared" si="10"/>
        <v>10.43</v>
      </c>
      <c r="P53" s="5">
        <f t="shared" si="10"/>
        <v>9.91</v>
      </c>
      <c r="Q53" s="5">
        <f t="shared" si="10"/>
        <v>8.02</v>
      </c>
      <c r="R53" s="5">
        <f t="shared" si="10"/>
        <v>5.66</v>
      </c>
      <c r="S53" s="5">
        <f t="shared" si="9"/>
        <v>5.01</v>
      </c>
      <c r="T53" s="5">
        <f t="shared" si="9"/>
        <v>3.25</v>
      </c>
      <c r="U53" s="5">
        <f t="shared" si="9"/>
        <v>2.05</v>
      </c>
      <c r="V53" s="5">
        <f t="shared" si="9"/>
        <v>1.84</v>
      </c>
      <c r="W53" s="5">
        <f t="shared" si="9"/>
        <v>1.54</v>
      </c>
      <c r="X53" s="5">
        <f t="shared" si="9"/>
        <v>1.31</v>
      </c>
      <c r="Y53" s="5">
        <f t="shared" si="9"/>
        <v>1.1</v>
      </c>
      <c r="Z53" s="5">
        <f t="shared" si="9"/>
        <v>1.15</v>
      </c>
      <c r="AA53" s="5">
        <f t="shared" si="9"/>
        <v>1.1</v>
      </c>
      <c r="AB53" s="5">
        <f t="shared" si="9"/>
        <v>1.08</v>
      </c>
      <c r="AC53" s="5">
        <f t="shared" si="9"/>
        <v>0.89</v>
      </c>
      <c r="AD53" s="5">
        <f t="shared" si="9"/>
        <v>0.86</v>
      </c>
      <c r="AE53" s="5">
        <f t="shared" si="9"/>
        <v>0.82</v>
      </c>
      <c r="AF53" s="5">
        <f t="shared" si="9"/>
        <v>0.76</v>
      </c>
      <c r="AG53" s="5">
        <f t="shared" si="9"/>
        <v>0.74</v>
      </c>
      <c r="AH53" s="5">
        <f t="shared" si="8"/>
        <v>0.71</v>
      </c>
      <c r="AI53" s="5">
        <f t="shared" si="8"/>
        <v>0.68</v>
      </c>
      <c r="AJ53" s="5">
        <f t="shared" si="8"/>
        <v>0.66</v>
      </c>
    </row>
    <row r="54" spans="1:36">
      <c r="A54" t="str">
        <f>"electricity_archetype_"&amp;TEXT(ROUND(Table2[[#This Row],[2016]],1),"0.0")</f>
        <v>electricity_archetype_15.3</v>
      </c>
      <c r="B54" s="5">
        <f t="shared" si="2"/>
        <v>15.3</v>
      </c>
      <c r="C54" s="5">
        <f t="shared" si="10"/>
        <v>15.3</v>
      </c>
      <c r="D54" s="5">
        <f t="shared" si="10"/>
        <v>15.3</v>
      </c>
      <c r="E54" s="5">
        <f t="shared" si="10"/>
        <v>14.88</v>
      </c>
      <c r="F54" s="5">
        <f t="shared" si="10"/>
        <v>13.87</v>
      </c>
      <c r="G54" s="5">
        <f t="shared" si="10"/>
        <v>14.16</v>
      </c>
      <c r="H54" s="5">
        <f t="shared" si="10"/>
        <v>13.64</v>
      </c>
      <c r="I54" s="5">
        <f t="shared" si="10"/>
        <v>12.81</v>
      </c>
      <c r="J54" s="5">
        <f t="shared" si="10"/>
        <v>12.38</v>
      </c>
      <c r="K54" s="5">
        <f t="shared" si="10"/>
        <v>11.91</v>
      </c>
      <c r="L54" s="5">
        <f t="shared" si="10"/>
        <v>11.58</v>
      </c>
      <c r="M54" s="5">
        <f t="shared" si="10"/>
        <v>11.55</v>
      </c>
      <c r="N54" s="5">
        <f t="shared" si="10"/>
        <v>10.96</v>
      </c>
      <c r="O54" s="5">
        <f t="shared" si="10"/>
        <v>10.36</v>
      </c>
      <c r="P54" s="5">
        <f t="shared" si="10"/>
        <v>9.85</v>
      </c>
      <c r="Q54" s="5">
        <f t="shared" si="10"/>
        <v>7.97</v>
      </c>
      <c r="R54" s="5">
        <f t="shared" si="10"/>
        <v>5.62</v>
      </c>
      <c r="S54" s="5">
        <f t="shared" si="9"/>
        <v>4.98</v>
      </c>
      <c r="T54" s="5">
        <f t="shared" si="9"/>
        <v>3.23</v>
      </c>
      <c r="U54" s="5">
        <f t="shared" si="9"/>
        <v>2.04</v>
      </c>
      <c r="V54" s="5">
        <f t="shared" si="9"/>
        <v>1.83</v>
      </c>
      <c r="W54" s="5">
        <f t="shared" si="9"/>
        <v>1.53</v>
      </c>
      <c r="X54" s="5">
        <f t="shared" si="9"/>
        <v>1.31</v>
      </c>
      <c r="Y54" s="5">
        <f t="shared" si="9"/>
        <v>1.09</v>
      </c>
      <c r="Z54" s="5">
        <f t="shared" si="9"/>
        <v>1.14</v>
      </c>
      <c r="AA54" s="5">
        <f t="shared" si="9"/>
        <v>1.1</v>
      </c>
      <c r="AB54" s="5">
        <f t="shared" si="9"/>
        <v>1.07</v>
      </c>
      <c r="AC54" s="5">
        <f t="shared" si="9"/>
        <v>0.89</v>
      </c>
      <c r="AD54" s="5">
        <f t="shared" si="9"/>
        <v>0.86</v>
      </c>
      <c r="AE54" s="5">
        <f t="shared" si="9"/>
        <v>0.82</v>
      </c>
      <c r="AF54" s="5">
        <f t="shared" si="9"/>
        <v>0.76</v>
      </c>
      <c r="AG54" s="5">
        <f t="shared" si="9"/>
        <v>0.74</v>
      </c>
      <c r="AH54" s="5">
        <f t="shared" si="8"/>
        <v>0.71</v>
      </c>
      <c r="AI54" s="5">
        <f t="shared" si="8"/>
        <v>0.68</v>
      </c>
      <c r="AJ54" s="5">
        <f t="shared" si="8"/>
        <v>0.66</v>
      </c>
    </row>
    <row r="55" spans="1:36">
      <c r="A55" t="str">
        <f>"electricity_archetype_"&amp;TEXT(ROUND(Table2[[#This Row],[2016]],1),"0.0")</f>
        <v>electricity_archetype_15.2</v>
      </c>
      <c r="B55" s="5">
        <f t="shared" si="2"/>
        <v>15.2</v>
      </c>
      <c r="C55" s="5">
        <f t="shared" si="10"/>
        <v>15.2</v>
      </c>
      <c r="D55" s="5">
        <f t="shared" si="10"/>
        <v>15.2</v>
      </c>
      <c r="E55" s="5">
        <f t="shared" si="10"/>
        <v>14.78</v>
      </c>
      <c r="F55" s="5">
        <f t="shared" si="10"/>
        <v>13.78</v>
      </c>
      <c r="G55" s="5">
        <f t="shared" si="10"/>
        <v>14.07</v>
      </c>
      <c r="H55" s="5">
        <f t="shared" si="10"/>
        <v>13.56</v>
      </c>
      <c r="I55" s="5">
        <f t="shared" si="10"/>
        <v>12.73</v>
      </c>
      <c r="J55" s="5">
        <f t="shared" si="10"/>
        <v>12.3</v>
      </c>
      <c r="K55" s="5">
        <f t="shared" si="10"/>
        <v>11.84</v>
      </c>
      <c r="L55" s="5">
        <f t="shared" si="10"/>
        <v>11.51</v>
      </c>
      <c r="M55" s="5">
        <f t="shared" si="10"/>
        <v>11.47</v>
      </c>
      <c r="N55" s="5">
        <f t="shared" si="10"/>
        <v>10.89</v>
      </c>
      <c r="O55" s="5">
        <f t="shared" si="10"/>
        <v>10.29</v>
      </c>
      <c r="P55" s="5">
        <f t="shared" si="10"/>
        <v>9.78</v>
      </c>
      <c r="Q55" s="5">
        <f t="shared" si="10"/>
        <v>7.92</v>
      </c>
      <c r="R55" s="5">
        <f t="shared" si="10"/>
        <v>5.59</v>
      </c>
      <c r="S55" s="5">
        <f t="shared" si="9"/>
        <v>4.95</v>
      </c>
      <c r="T55" s="5">
        <f t="shared" si="9"/>
        <v>3.21</v>
      </c>
      <c r="U55" s="5">
        <f t="shared" si="9"/>
        <v>2.03</v>
      </c>
      <c r="V55" s="5">
        <f t="shared" si="9"/>
        <v>1.82</v>
      </c>
      <c r="W55" s="5">
        <f t="shared" si="9"/>
        <v>1.53</v>
      </c>
      <c r="X55" s="5">
        <f t="shared" si="9"/>
        <v>1.3</v>
      </c>
      <c r="Y55" s="5">
        <f t="shared" si="9"/>
        <v>1.09</v>
      </c>
      <c r="Z55" s="5">
        <f t="shared" si="9"/>
        <v>1.14</v>
      </c>
      <c r="AA55" s="5">
        <f t="shared" si="9"/>
        <v>1.1</v>
      </c>
      <c r="AB55" s="5">
        <f t="shared" si="9"/>
        <v>1.07</v>
      </c>
      <c r="AC55" s="5">
        <f t="shared" si="9"/>
        <v>0.89</v>
      </c>
      <c r="AD55" s="5">
        <f t="shared" si="9"/>
        <v>0.86</v>
      </c>
      <c r="AE55" s="5">
        <f t="shared" si="9"/>
        <v>0.82</v>
      </c>
      <c r="AF55" s="5">
        <f t="shared" si="9"/>
        <v>0.76</v>
      </c>
      <c r="AG55" s="5">
        <f t="shared" si="9"/>
        <v>0.74</v>
      </c>
      <c r="AH55" s="5">
        <f t="shared" si="8"/>
        <v>0.71</v>
      </c>
      <c r="AI55" s="5">
        <f t="shared" si="8"/>
        <v>0.68</v>
      </c>
      <c r="AJ55" s="5">
        <f t="shared" si="8"/>
        <v>0.66</v>
      </c>
    </row>
    <row r="56" spans="1:36">
      <c r="A56" t="str">
        <f>"electricity_archetype_"&amp;TEXT(ROUND(Table2[[#This Row],[2016]],1),"0.0")</f>
        <v>electricity_archetype_15.1</v>
      </c>
      <c r="B56" s="5">
        <f t="shared" si="2"/>
        <v>15.1</v>
      </c>
      <c r="C56" s="5">
        <f t="shared" si="10"/>
        <v>15.1</v>
      </c>
      <c r="D56" s="5">
        <f t="shared" si="10"/>
        <v>15.1</v>
      </c>
      <c r="E56" s="5">
        <f t="shared" si="10"/>
        <v>14.69</v>
      </c>
      <c r="F56" s="5">
        <f t="shared" si="10"/>
        <v>13.69</v>
      </c>
      <c r="G56" s="5">
        <f t="shared" si="10"/>
        <v>13.98</v>
      </c>
      <c r="H56" s="5">
        <f t="shared" si="10"/>
        <v>13.47</v>
      </c>
      <c r="I56" s="5">
        <f t="shared" si="10"/>
        <v>12.65</v>
      </c>
      <c r="J56" s="5">
        <f t="shared" si="10"/>
        <v>12.22</v>
      </c>
      <c r="K56" s="5">
        <f t="shared" si="10"/>
        <v>11.76</v>
      </c>
      <c r="L56" s="5">
        <f t="shared" si="10"/>
        <v>11.44</v>
      </c>
      <c r="M56" s="5">
        <f t="shared" si="10"/>
        <v>11.4</v>
      </c>
      <c r="N56" s="5">
        <f t="shared" si="10"/>
        <v>10.81</v>
      </c>
      <c r="O56" s="5">
        <f t="shared" si="10"/>
        <v>10.23</v>
      </c>
      <c r="P56" s="5">
        <f t="shared" si="10"/>
        <v>9.72</v>
      </c>
      <c r="Q56" s="5">
        <f t="shared" si="10"/>
        <v>7.87</v>
      </c>
      <c r="R56" s="5">
        <f t="shared" si="10"/>
        <v>5.55</v>
      </c>
      <c r="S56" s="5">
        <f t="shared" si="9"/>
        <v>4.92</v>
      </c>
      <c r="T56" s="5">
        <f t="shared" si="9"/>
        <v>3.2</v>
      </c>
      <c r="U56" s="5">
        <f t="shared" si="9"/>
        <v>2.02</v>
      </c>
      <c r="V56" s="5">
        <f t="shared" si="9"/>
        <v>1.82</v>
      </c>
      <c r="W56" s="5">
        <f t="shared" si="9"/>
        <v>1.52</v>
      </c>
      <c r="X56" s="5">
        <f t="shared" si="9"/>
        <v>1.3</v>
      </c>
      <c r="Y56" s="5">
        <f t="shared" si="9"/>
        <v>1.09</v>
      </c>
      <c r="Z56" s="5">
        <f t="shared" si="9"/>
        <v>1.14</v>
      </c>
      <c r="AA56" s="5">
        <f t="shared" si="9"/>
        <v>1.09</v>
      </c>
      <c r="AB56" s="5">
        <f t="shared" si="9"/>
        <v>1.07</v>
      </c>
      <c r="AC56" s="5">
        <f t="shared" si="9"/>
        <v>0.89</v>
      </c>
      <c r="AD56" s="5">
        <f t="shared" si="9"/>
        <v>0.85</v>
      </c>
      <c r="AE56" s="5">
        <f t="shared" si="9"/>
        <v>0.82</v>
      </c>
      <c r="AF56" s="5">
        <f t="shared" si="9"/>
        <v>0.76</v>
      </c>
      <c r="AG56" s="5">
        <f t="shared" si="9"/>
        <v>0.73</v>
      </c>
      <c r="AH56" s="5">
        <f t="shared" si="8"/>
        <v>0.71</v>
      </c>
      <c r="AI56" s="5">
        <f t="shared" si="8"/>
        <v>0.68</v>
      </c>
      <c r="AJ56" s="5">
        <f t="shared" si="8"/>
        <v>0.66</v>
      </c>
    </row>
    <row r="57" spans="1:36">
      <c r="A57" t="str">
        <f>"electricity_archetype_"&amp;TEXT(ROUND(Table2[[#This Row],[2016]],1),"0.0")</f>
        <v>electricity_archetype_15.0</v>
      </c>
      <c r="B57" s="5">
        <f t="shared" si="2"/>
        <v>15</v>
      </c>
      <c r="C57" s="5">
        <f t="shared" si="10"/>
        <v>15</v>
      </c>
      <c r="D57" s="5">
        <f t="shared" si="10"/>
        <v>15</v>
      </c>
      <c r="E57" s="5">
        <f t="shared" si="10"/>
        <v>14.59</v>
      </c>
      <c r="F57" s="5">
        <f t="shared" si="10"/>
        <v>13.6</v>
      </c>
      <c r="G57" s="5">
        <f t="shared" si="10"/>
        <v>13.89</v>
      </c>
      <c r="H57" s="5">
        <f t="shared" si="10"/>
        <v>13.38</v>
      </c>
      <c r="I57" s="5">
        <f t="shared" si="10"/>
        <v>12.57</v>
      </c>
      <c r="J57" s="5">
        <f t="shared" si="10"/>
        <v>12.14</v>
      </c>
      <c r="K57" s="5">
        <f t="shared" si="10"/>
        <v>11.68</v>
      </c>
      <c r="L57" s="5">
        <f t="shared" si="10"/>
        <v>11.36</v>
      </c>
      <c r="M57" s="5">
        <f t="shared" si="10"/>
        <v>11.33</v>
      </c>
      <c r="N57" s="5">
        <f t="shared" si="10"/>
        <v>10.74</v>
      </c>
      <c r="O57" s="5">
        <f t="shared" si="10"/>
        <v>10.16</v>
      </c>
      <c r="P57" s="5">
        <f t="shared" si="10"/>
        <v>9.66</v>
      </c>
      <c r="Q57" s="5">
        <f t="shared" si="10"/>
        <v>7.82</v>
      </c>
      <c r="R57" s="5">
        <f t="shared" si="10"/>
        <v>5.52</v>
      </c>
      <c r="S57" s="5">
        <f t="shared" si="9"/>
        <v>4.89</v>
      </c>
      <c r="T57" s="5">
        <f t="shared" si="9"/>
        <v>3.18</v>
      </c>
      <c r="U57" s="5">
        <f t="shared" si="9"/>
        <v>2.01</v>
      </c>
      <c r="V57" s="5">
        <f t="shared" si="9"/>
        <v>1.81</v>
      </c>
      <c r="W57" s="5">
        <f t="shared" si="9"/>
        <v>1.52</v>
      </c>
      <c r="X57" s="5">
        <f t="shared" si="9"/>
        <v>1.29</v>
      </c>
      <c r="Y57" s="5">
        <f t="shared" si="9"/>
        <v>1.08</v>
      </c>
      <c r="Z57" s="5">
        <f t="shared" si="9"/>
        <v>1.13</v>
      </c>
      <c r="AA57" s="5">
        <f t="shared" si="9"/>
        <v>1.09</v>
      </c>
      <c r="AB57" s="5">
        <f t="shared" si="9"/>
        <v>1.07</v>
      </c>
      <c r="AC57" s="5">
        <f t="shared" si="9"/>
        <v>0.88</v>
      </c>
      <c r="AD57" s="5">
        <f t="shared" si="9"/>
        <v>0.85</v>
      </c>
      <c r="AE57" s="5">
        <f t="shared" si="9"/>
        <v>0.82</v>
      </c>
      <c r="AF57" s="5">
        <f t="shared" si="9"/>
        <v>0.76</v>
      </c>
      <c r="AG57" s="5">
        <f t="shared" si="9"/>
        <v>0.73</v>
      </c>
      <c r="AH57" s="5">
        <f t="shared" si="8"/>
        <v>0.71</v>
      </c>
      <c r="AI57" s="5">
        <f t="shared" si="8"/>
        <v>0.68</v>
      </c>
      <c r="AJ57" s="5">
        <f t="shared" si="8"/>
        <v>0.66</v>
      </c>
    </row>
    <row r="58" spans="1:36">
      <c r="A58" t="str">
        <f>"electricity_archetype_"&amp;TEXT(ROUND(Table2[[#This Row],[2016]],1),"0.0")</f>
        <v>electricity_archetype_14.9</v>
      </c>
      <c r="B58" s="5">
        <f t="shared" si="2"/>
        <v>14.9</v>
      </c>
      <c r="C58" s="5">
        <f t="shared" si="10"/>
        <v>14.9</v>
      </c>
      <c r="D58" s="5">
        <f t="shared" si="10"/>
        <v>14.9</v>
      </c>
      <c r="E58" s="5">
        <f t="shared" si="10"/>
        <v>14.49</v>
      </c>
      <c r="F58" s="5">
        <f t="shared" si="10"/>
        <v>13.51</v>
      </c>
      <c r="G58" s="5">
        <f t="shared" si="10"/>
        <v>13.79</v>
      </c>
      <c r="H58" s="5">
        <f t="shared" si="10"/>
        <v>13.29</v>
      </c>
      <c r="I58" s="5">
        <f t="shared" si="10"/>
        <v>12.48</v>
      </c>
      <c r="J58" s="5">
        <f t="shared" si="10"/>
        <v>12.06</v>
      </c>
      <c r="K58" s="5">
        <f t="shared" si="10"/>
        <v>11.6</v>
      </c>
      <c r="L58" s="5">
        <f t="shared" si="10"/>
        <v>11.29</v>
      </c>
      <c r="M58" s="5">
        <f t="shared" si="10"/>
        <v>11.25</v>
      </c>
      <c r="N58" s="5">
        <f t="shared" si="10"/>
        <v>10.67</v>
      </c>
      <c r="O58" s="5">
        <f t="shared" si="10"/>
        <v>10.09</v>
      </c>
      <c r="P58" s="5">
        <f t="shared" si="10"/>
        <v>9.59</v>
      </c>
      <c r="Q58" s="5">
        <f t="shared" si="10"/>
        <v>7.77</v>
      </c>
      <c r="R58" s="5">
        <f t="shared" si="10"/>
        <v>5.49</v>
      </c>
      <c r="S58" s="5">
        <f t="shared" si="9"/>
        <v>4.86</v>
      </c>
      <c r="T58" s="5">
        <f t="shared" si="9"/>
        <v>3.16</v>
      </c>
      <c r="U58" s="5">
        <f t="shared" si="9"/>
        <v>2</v>
      </c>
      <c r="V58" s="5">
        <f t="shared" si="9"/>
        <v>1.8</v>
      </c>
      <c r="W58" s="5">
        <f t="shared" si="9"/>
        <v>1.51</v>
      </c>
      <c r="X58" s="5">
        <f t="shared" si="9"/>
        <v>1.29</v>
      </c>
      <c r="Y58" s="5">
        <f t="shared" si="9"/>
        <v>1.08</v>
      </c>
      <c r="Z58" s="5">
        <f t="shared" si="9"/>
        <v>1.13</v>
      </c>
      <c r="AA58" s="5">
        <f t="shared" si="9"/>
        <v>1.09</v>
      </c>
      <c r="AB58" s="5">
        <f t="shared" si="9"/>
        <v>1.06</v>
      </c>
      <c r="AC58" s="5">
        <f t="shared" si="9"/>
        <v>0.88</v>
      </c>
      <c r="AD58" s="5">
        <f t="shared" si="9"/>
        <v>0.85</v>
      </c>
      <c r="AE58" s="5">
        <f t="shared" si="9"/>
        <v>0.82</v>
      </c>
      <c r="AF58" s="5">
        <f t="shared" si="9"/>
        <v>0.76</v>
      </c>
      <c r="AG58" s="5">
        <f t="shared" si="9"/>
        <v>0.73</v>
      </c>
      <c r="AH58" s="5">
        <f t="shared" si="8"/>
        <v>0.71</v>
      </c>
      <c r="AI58" s="5">
        <f t="shared" si="8"/>
        <v>0.68</v>
      </c>
      <c r="AJ58" s="5">
        <f t="shared" si="8"/>
        <v>0.66</v>
      </c>
    </row>
    <row r="59" spans="1:36">
      <c r="A59" t="str">
        <f>"electricity_archetype_"&amp;TEXT(ROUND(Table2[[#This Row],[2016]],1),"0.0")</f>
        <v>electricity_archetype_14.8</v>
      </c>
      <c r="B59" s="5">
        <f t="shared" si="2"/>
        <v>14.8</v>
      </c>
      <c r="C59" s="5">
        <f t="shared" si="10"/>
        <v>14.8</v>
      </c>
      <c r="D59" s="5">
        <f t="shared" si="10"/>
        <v>14.8</v>
      </c>
      <c r="E59" s="5">
        <f t="shared" si="10"/>
        <v>14.4</v>
      </c>
      <c r="F59" s="5">
        <f t="shared" si="10"/>
        <v>13.42</v>
      </c>
      <c r="G59" s="5">
        <f t="shared" si="10"/>
        <v>13.7</v>
      </c>
      <c r="H59" s="5">
        <f t="shared" si="10"/>
        <v>13.2</v>
      </c>
      <c r="I59" s="5">
        <f t="shared" si="10"/>
        <v>12.4</v>
      </c>
      <c r="J59" s="5">
        <f t="shared" si="10"/>
        <v>11.98</v>
      </c>
      <c r="K59" s="5">
        <f t="shared" si="10"/>
        <v>11.53</v>
      </c>
      <c r="L59" s="5">
        <f t="shared" si="10"/>
        <v>11.21</v>
      </c>
      <c r="M59" s="5">
        <f t="shared" si="10"/>
        <v>11.18</v>
      </c>
      <c r="N59" s="5">
        <f t="shared" si="10"/>
        <v>10.6</v>
      </c>
      <c r="O59" s="5">
        <f t="shared" si="10"/>
        <v>10.03</v>
      </c>
      <c r="P59" s="5">
        <f t="shared" si="10"/>
        <v>9.53</v>
      </c>
      <c r="Q59" s="5">
        <f t="shared" si="10"/>
        <v>7.72</v>
      </c>
      <c r="R59" s="5">
        <f t="shared" si="10"/>
        <v>5.45</v>
      </c>
      <c r="S59" s="5">
        <f t="shared" si="9"/>
        <v>4.83</v>
      </c>
      <c r="T59" s="5">
        <f t="shared" si="9"/>
        <v>3.14</v>
      </c>
      <c r="U59" s="5">
        <f t="shared" si="9"/>
        <v>1.99</v>
      </c>
      <c r="V59" s="5">
        <f t="shared" si="9"/>
        <v>1.79</v>
      </c>
      <c r="W59" s="5">
        <f t="shared" si="9"/>
        <v>1.5</v>
      </c>
      <c r="X59" s="5">
        <f t="shared" si="9"/>
        <v>1.29</v>
      </c>
      <c r="Y59" s="5">
        <f t="shared" si="9"/>
        <v>1.08</v>
      </c>
      <c r="Z59" s="5">
        <f t="shared" si="9"/>
        <v>1.13</v>
      </c>
      <c r="AA59" s="5">
        <f t="shared" si="9"/>
        <v>1.09</v>
      </c>
      <c r="AB59" s="5">
        <f t="shared" si="9"/>
        <v>1.06</v>
      </c>
      <c r="AC59" s="5">
        <f t="shared" si="9"/>
        <v>0.88</v>
      </c>
      <c r="AD59" s="5">
        <f t="shared" si="9"/>
        <v>0.85</v>
      </c>
      <c r="AE59" s="5">
        <f t="shared" si="9"/>
        <v>0.82</v>
      </c>
      <c r="AF59" s="5">
        <f t="shared" si="9"/>
        <v>0.76</v>
      </c>
      <c r="AG59" s="5">
        <f t="shared" si="9"/>
        <v>0.73</v>
      </c>
      <c r="AH59" s="5">
        <f t="shared" si="8"/>
        <v>0.71</v>
      </c>
      <c r="AI59" s="5">
        <f t="shared" si="8"/>
        <v>0.68</v>
      </c>
      <c r="AJ59" s="5">
        <f t="shared" si="8"/>
        <v>0.66</v>
      </c>
    </row>
    <row r="60" spans="1:36">
      <c r="A60" t="str">
        <f>"electricity_archetype_"&amp;TEXT(ROUND(Table2[[#This Row],[2016]],1),"0.0")</f>
        <v>electricity_archetype_14.7</v>
      </c>
      <c r="B60" s="5">
        <f t="shared" si="2"/>
        <v>14.7</v>
      </c>
      <c r="C60" s="5">
        <f t="shared" si="10"/>
        <v>14.7</v>
      </c>
      <c r="D60" s="5">
        <f t="shared" si="10"/>
        <v>14.7</v>
      </c>
      <c r="E60" s="5">
        <f t="shared" si="10"/>
        <v>14.3</v>
      </c>
      <c r="F60" s="5">
        <f t="shared" si="10"/>
        <v>13.33</v>
      </c>
      <c r="G60" s="5">
        <f t="shared" si="10"/>
        <v>13.61</v>
      </c>
      <c r="H60" s="5">
        <f t="shared" si="10"/>
        <v>13.11</v>
      </c>
      <c r="I60" s="5">
        <f t="shared" si="10"/>
        <v>12.32</v>
      </c>
      <c r="J60" s="5">
        <f t="shared" si="10"/>
        <v>11.9</v>
      </c>
      <c r="K60" s="5">
        <f t="shared" si="10"/>
        <v>11.45</v>
      </c>
      <c r="L60" s="5">
        <f t="shared" si="10"/>
        <v>11.14</v>
      </c>
      <c r="M60" s="5">
        <f t="shared" si="10"/>
        <v>11.1</v>
      </c>
      <c r="N60" s="5">
        <f t="shared" si="10"/>
        <v>10.53</v>
      </c>
      <c r="O60" s="5">
        <f t="shared" si="10"/>
        <v>9.96</v>
      </c>
      <c r="P60" s="5">
        <f t="shared" si="10"/>
        <v>9.47</v>
      </c>
      <c r="Q60" s="5">
        <f t="shared" si="10"/>
        <v>7.67</v>
      </c>
      <c r="R60" s="5">
        <f t="shared" si="10"/>
        <v>5.42</v>
      </c>
      <c r="S60" s="5">
        <f t="shared" si="9"/>
        <v>4.8</v>
      </c>
      <c r="T60" s="5">
        <f t="shared" si="9"/>
        <v>3.13</v>
      </c>
      <c r="U60" s="5">
        <f t="shared" si="9"/>
        <v>1.98</v>
      </c>
      <c r="V60" s="5">
        <f t="shared" si="9"/>
        <v>1.78</v>
      </c>
      <c r="W60" s="5">
        <f t="shared" si="9"/>
        <v>1.5</v>
      </c>
      <c r="X60" s="5">
        <f t="shared" si="9"/>
        <v>1.28</v>
      </c>
      <c r="Y60" s="5">
        <f t="shared" si="9"/>
        <v>1.07</v>
      </c>
      <c r="Z60" s="5">
        <f t="shared" si="9"/>
        <v>1.12</v>
      </c>
      <c r="AA60" s="5">
        <f t="shared" si="9"/>
        <v>1.08</v>
      </c>
      <c r="AB60" s="5">
        <f t="shared" si="9"/>
        <v>1.06</v>
      </c>
      <c r="AC60" s="5">
        <f t="shared" si="9"/>
        <v>0.88</v>
      </c>
      <c r="AD60" s="5">
        <f t="shared" si="9"/>
        <v>0.85</v>
      </c>
      <c r="AE60" s="5">
        <f t="shared" si="9"/>
        <v>0.81</v>
      </c>
      <c r="AF60" s="5">
        <f t="shared" si="9"/>
        <v>0.76</v>
      </c>
      <c r="AG60" s="5">
        <f t="shared" si="9"/>
        <v>0.73</v>
      </c>
      <c r="AH60" s="5">
        <f t="shared" si="8"/>
        <v>0.71</v>
      </c>
      <c r="AI60" s="5">
        <f t="shared" si="8"/>
        <v>0.68</v>
      </c>
      <c r="AJ60" s="5">
        <f t="shared" si="8"/>
        <v>0.66</v>
      </c>
    </row>
    <row r="61" spans="1:36">
      <c r="A61" t="str">
        <f>"electricity_archetype_"&amp;TEXT(ROUND(Table2[[#This Row],[2016]],1),"0.0")</f>
        <v>electricity_archetype_14.6</v>
      </c>
      <c r="B61" s="5">
        <f t="shared" si="2"/>
        <v>14.6</v>
      </c>
      <c r="C61" s="5">
        <f t="shared" si="10"/>
        <v>14.6</v>
      </c>
      <c r="D61" s="5">
        <f t="shared" si="10"/>
        <v>14.6</v>
      </c>
      <c r="E61" s="5">
        <f t="shared" si="10"/>
        <v>14.2</v>
      </c>
      <c r="F61" s="5">
        <f t="shared" si="10"/>
        <v>13.24</v>
      </c>
      <c r="G61" s="5">
        <f t="shared" si="10"/>
        <v>13.52</v>
      </c>
      <c r="H61" s="5">
        <f t="shared" si="10"/>
        <v>13.02</v>
      </c>
      <c r="I61" s="5">
        <f t="shared" si="10"/>
        <v>12.23</v>
      </c>
      <c r="J61" s="5">
        <f t="shared" si="10"/>
        <v>11.82</v>
      </c>
      <c r="K61" s="5">
        <f t="shared" si="10"/>
        <v>11.37</v>
      </c>
      <c r="L61" s="5">
        <f t="shared" si="10"/>
        <v>11.06</v>
      </c>
      <c r="M61" s="5">
        <f t="shared" si="10"/>
        <v>11.03</v>
      </c>
      <c r="N61" s="5">
        <f t="shared" si="10"/>
        <v>10.46</v>
      </c>
      <c r="O61" s="5">
        <f t="shared" si="10"/>
        <v>9.9</v>
      </c>
      <c r="P61" s="5">
        <f t="shared" si="10"/>
        <v>9.41</v>
      </c>
      <c r="Q61" s="5">
        <f t="shared" si="10"/>
        <v>7.62</v>
      </c>
      <c r="R61" s="5">
        <f t="shared" si="10"/>
        <v>5.38</v>
      </c>
      <c r="S61" s="5">
        <f t="shared" si="9"/>
        <v>4.77</v>
      </c>
      <c r="T61" s="5">
        <f t="shared" si="9"/>
        <v>3.11</v>
      </c>
      <c r="U61" s="5">
        <f t="shared" si="9"/>
        <v>1.97</v>
      </c>
      <c r="V61" s="5">
        <f t="shared" si="9"/>
        <v>1.78</v>
      </c>
      <c r="W61" s="5">
        <f t="shared" si="9"/>
        <v>1.49</v>
      </c>
      <c r="X61" s="5">
        <f t="shared" si="9"/>
        <v>1.28</v>
      </c>
      <c r="Y61" s="5">
        <f t="shared" si="9"/>
        <v>1.07</v>
      </c>
      <c r="Z61" s="5">
        <f t="shared" si="9"/>
        <v>1.12</v>
      </c>
      <c r="AA61" s="5">
        <f t="shared" si="9"/>
        <v>1.08</v>
      </c>
      <c r="AB61" s="5">
        <f t="shared" si="9"/>
        <v>1.05</v>
      </c>
      <c r="AC61" s="5">
        <f t="shared" si="9"/>
        <v>0.88</v>
      </c>
      <c r="AD61" s="5">
        <f t="shared" si="9"/>
        <v>0.85</v>
      </c>
      <c r="AE61" s="5">
        <f t="shared" si="9"/>
        <v>0.81</v>
      </c>
      <c r="AF61" s="5">
        <f t="shared" si="9"/>
        <v>0.76</v>
      </c>
      <c r="AG61" s="5">
        <f t="shared" si="9"/>
        <v>0.73</v>
      </c>
      <c r="AH61" s="5">
        <f t="shared" si="8"/>
        <v>0.71</v>
      </c>
      <c r="AI61" s="5">
        <f t="shared" si="8"/>
        <v>0.68</v>
      </c>
      <c r="AJ61" s="5">
        <f t="shared" si="8"/>
        <v>0.66</v>
      </c>
    </row>
    <row r="62" spans="1:36">
      <c r="A62" t="str">
        <f>"electricity_archetype_"&amp;TEXT(ROUND(Table2[[#This Row],[2016]],1),"0.0")</f>
        <v>electricity_archetype_14.5</v>
      </c>
      <c r="B62" s="5">
        <f t="shared" si="2"/>
        <v>14.5</v>
      </c>
      <c r="C62" s="5">
        <f t="shared" si="10"/>
        <v>14.5</v>
      </c>
      <c r="D62" s="5">
        <f t="shared" si="10"/>
        <v>14.5</v>
      </c>
      <c r="E62" s="5">
        <f t="shared" si="10"/>
        <v>14.1</v>
      </c>
      <c r="F62" s="5">
        <f t="shared" si="10"/>
        <v>13.15</v>
      </c>
      <c r="G62" s="5">
        <f t="shared" si="10"/>
        <v>13.42</v>
      </c>
      <c r="H62" s="5">
        <f t="shared" si="10"/>
        <v>12.94</v>
      </c>
      <c r="I62" s="5">
        <f t="shared" si="10"/>
        <v>12.15</v>
      </c>
      <c r="J62" s="5">
        <f t="shared" si="10"/>
        <v>11.74</v>
      </c>
      <c r="K62" s="5">
        <f t="shared" si="10"/>
        <v>11.3</v>
      </c>
      <c r="L62" s="5">
        <f t="shared" si="10"/>
        <v>10.99</v>
      </c>
      <c r="M62" s="5">
        <f t="shared" si="10"/>
        <v>10.95</v>
      </c>
      <c r="N62" s="5">
        <f t="shared" si="10"/>
        <v>10.39</v>
      </c>
      <c r="O62" s="5">
        <f t="shared" si="10"/>
        <v>9.83</v>
      </c>
      <c r="P62" s="5">
        <f t="shared" si="10"/>
        <v>9.34</v>
      </c>
      <c r="Q62" s="5">
        <f t="shared" si="10"/>
        <v>7.57</v>
      </c>
      <c r="R62" s="5">
        <f t="shared" ref="R62:AG77" si="11">MROUND((($B62-$AJ$2)*((R$2-$AJ$2)/($B$2-$AJ$2)))+$AJ$2,0.01)</f>
        <v>5.35</v>
      </c>
      <c r="S62" s="5">
        <f t="shared" si="11"/>
        <v>4.74</v>
      </c>
      <c r="T62" s="5">
        <f t="shared" si="11"/>
        <v>3.09</v>
      </c>
      <c r="U62" s="5">
        <f t="shared" si="11"/>
        <v>1.96</v>
      </c>
      <c r="V62" s="5">
        <f t="shared" si="11"/>
        <v>1.77</v>
      </c>
      <c r="W62" s="5">
        <f t="shared" si="11"/>
        <v>1.49</v>
      </c>
      <c r="X62" s="5">
        <f t="shared" si="11"/>
        <v>1.27</v>
      </c>
      <c r="Y62" s="5">
        <f t="shared" si="11"/>
        <v>1.07</v>
      </c>
      <c r="Z62" s="5">
        <f t="shared" si="11"/>
        <v>1.12</v>
      </c>
      <c r="AA62" s="5">
        <f t="shared" si="11"/>
        <v>1.08</v>
      </c>
      <c r="AB62" s="5">
        <f t="shared" si="11"/>
        <v>1.05</v>
      </c>
      <c r="AC62" s="5">
        <f t="shared" si="11"/>
        <v>0.88</v>
      </c>
      <c r="AD62" s="5">
        <f t="shared" si="11"/>
        <v>0.85</v>
      </c>
      <c r="AE62" s="5">
        <f t="shared" si="11"/>
        <v>0.81</v>
      </c>
      <c r="AF62" s="5">
        <f t="shared" si="11"/>
        <v>0.76</v>
      </c>
      <c r="AG62" s="5">
        <f t="shared" si="11"/>
        <v>0.73</v>
      </c>
      <c r="AH62" s="5">
        <f t="shared" si="8"/>
        <v>0.71</v>
      </c>
      <c r="AI62" s="5">
        <f t="shared" si="8"/>
        <v>0.68</v>
      </c>
      <c r="AJ62" s="5">
        <f t="shared" si="8"/>
        <v>0.66</v>
      </c>
    </row>
    <row r="63" spans="1:36">
      <c r="A63" t="str">
        <f>"electricity_archetype_"&amp;TEXT(ROUND(Table2[[#This Row],[2016]],1),"0.0")</f>
        <v>electricity_archetype_14.4</v>
      </c>
      <c r="B63" s="5">
        <f t="shared" si="2"/>
        <v>14.4</v>
      </c>
      <c r="C63" s="5">
        <f t="shared" ref="C63:R78" si="12">MROUND((($B63-$AJ$2)*((C$2-$AJ$2)/($B$2-$AJ$2)))+$AJ$2,0.01)</f>
        <v>14.4</v>
      </c>
      <c r="D63" s="5">
        <f t="shared" si="12"/>
        <v>14.4</v>
      </c>
      <c r="E63" s="5">
        <f t="shared" si="12"/>
        <v>14.01</v>
      </c>
      <c r="F63" s="5">
        <f t="shared" si="12"/>
        <v>13.06</v>
      </c>
      <c r="G63" s="5">
        <f t="shared" si="12"/>
        <v>13.33</v>
      </c>
      <c r="H63" s="5">
        <f t="shared" si="12"/>
        <v>12.85</v>
      </c>
      <c r="I63" s="5">
        <f t="shared" si="12"/>
        <v>12.07</v>
      </c>
      <c r="J63" s="5">
        <f t="shared" si="12"/>
        <v>11.66</v>
      </c>
      <c r="K63" s="5">
        <f t="shared" si="12"/>
        <v>11.22</v>
      </c>
      <c r="L63" s="5">
        <f t="shared" si="12"/>
        <v>10.91</v>
      </c>
      <c r="M63" s="5">
        <f t="shared" si="12"/>
        <v>10.88</v>
      </c>
      <c r="N63" s="5">
        <f t="shared" si="12"/>
        <v>10.32</v>
      </c>
      <c r="O63" s="5">
        <f t="shared" si="12"/>
        <v>9.76</v>
      </c>
      <c r="P63" s="5">
        <f t="shared" si="12"/>
        <v>9.28</v>
      </c>
      <c r="Q63" s="5">
        <f t="shared" si="12"/>
        <v>7.52</v>
      </c>
      <c r="R63" s="5">
        <f t="shared" si="12"/>
        <v>5.32</v>
      </c>
      <c r="S63" s="5">
        <f t="shared" si="11"/>
        <v>4.71</v>
      </c>
      <c r="T63" s="5">
        <f t="shared" si="11"/>
        <v>3.07</v>
      </c>
      <c r="U63" s="5">
        <f t="shared" si="11"/>
        <v>1.95</v>
      </c>
      <c r="V63" s="5">
        <f t="shared" si="11"/>
        <v>1.76</v>
      </c>
      <c r="W63" s="5">
        <f t="shared" si="11"/>
        <v>1.48</v>
      </c>
      <c r="X63" s="5">
        <f t="shared" si="11"/>
        <v>1.27</v>
      </c>
      <c r="Y63" s="5">
        <f t="shared" si="11"/>
        <v>1.07</v>
      </c>
      <c r="Z63" s="5">
        <f t="shared" si="11"/>
        <v>1.11</v>
      </c>
      <c r="AA63" s="5">
        <f t="shared" si="11"/>
        <v>1.07</v>
      </c>
      <c r="AB63" s="5">
        <f t="shared" si="11"/>
        <v>1.05</v>
      </c>
      <c r="AC63" s="5">
        <f t="shared" si="11"/>
        <v>0.87</v>
      </c>
      <c r="AD63" s="5">
        <f t="shared" si="11"/>
        <v>0.85</v>
      </c>
      <c r="AE63" s="5">
        <f t="shared" si="11"/>
        <v>0.81</v>
      </c>
      <c r="AF63" s="5">
        <f t="shared" si="11"/>
        <v>0.76</v>
      </c>
      <c r="AG63" s="5">
        <f t="shared" si="11"/>
        <v>0.73</v>
      </c>
      <c r="AH63" s="5">
        <f t="shared" si="8"/>
        <v>0.71</v>
      </c>
      <c r="AI63" s="5">
        <f t="shared" si="8"/>
        <v>0.68</v>
      </c>
      <c r="AJ63" s="5">
        <f t="shared" si="8"/>
        <v>0.66</v>
      </c>
    </row>
    <row r="64" spans="1:36">
      <c r="A64" t="str">
        <f>"electricity_archetype_"&amp;TEXT(ROUND(Table2[[#This Row],[2016]],1),"0.0")</f>
        <v>electricity_archetype_14.3</v>
      </c>
      <c r="B64" s="5">
        <f t="shared" si="2"/>
        <v>14.3</v>
      </c>
      <c r="C64" s="5">
        <f t="shared" si="12"/>
        <v>14.3</v>
      </c>
      <c r="D64" s="5">
        <f t="shared" si="12"/>
        <v>14.3</v>
      </c>
      <c r="E64" s="5">
        <f t="shared" si="12"/>
        <v>13.91</v>
      </c>
      <c r="F64" s="5">
        <f t="shared" si="12"/>
        <v>12.97</v>
      </c>
      <c r="G64" s="5">
        <f t="shared" si="12"/>
        <v>13.24</v>
      </c>
      <c r="H64" s="5">
        <f t="shared" si="12"/>
        <v>12.76</v>
      </c>
      <c r="I64" s="5">
        <f t="shared" si="12"/>
        <v>11.98</v>
      </c>
      <c r="J64" s="5">
        <f t="shared" si="12"/>
        <v>11.58</v>
      </c>
      <c r="K64" s="5">
        <f t="shared" si="12"/>
        <v>11.14</v>
      </c>
      <c r="L64" s="5">
        <f t="shared" si="12"/>
        <v>10.84</v>
      </c>
      <c r="M64" s="5">
        <f t="shared" si="12"/>
        <v>10.8</v>
      </c>
      <c r="N64" s="5">
        <f t="shared" si="12"/>
        <v>10.25</v>
      </c>
      <c r="O64" s="5">
        <f t="shared" si="12"/>
        <v>9.7</v>
      </c>
      <c r="P64" s="5">
        <f t="shared" si="12"/>
        <v>9.22</v>
      </c>
      <c r="Q64" s="5">
        <f t="shared" si="12"/>
        <v>7.47</v>
      </c>
      <c r="R64" s="5">
        <f t="shared" si="12"/>
        <v>5.28</v>
      </c>
      <c r="S64" s="5">
        <f t="shared" si="11"/>
        <v>4.68</v>
      </c>
      <c r="T64" s="5">
        <f t="shared" si="11"/>
        <v>3.05</v>
      </c>
      <c r="U64" s="5">
        <f t="shared" si="11"/>
        <v>1.94</v>
      </c>
      <c r="V64" s="5">
        <f t="shared" si="11"/>
        <v>1.75</v>
      </c>
      <c r="W64" s="5">
        <f t="shared" si="11"/>
        <v>1.47</v>
      </c>
      <c r="X64" s="5">
        <f t="shared" si="11"/>
        <v>1.26</v>
      </c>
      <c r="Y64" s="5">
        <f t="shared" si="11"/>
        <v>1.06</v>
      </c>
      <c r="Z64" s="5">
        <f t="shared" si="11"/>
        <v>1.11</v>
      </c>
      <c r="AA64" s="5">
        <f t="shared" si="11"/>
        <v>1.07</v>
      </c>
      <c r="AB64" s="5">
        <f t="shared" si="11"/>
        <v>1.05</v>
      </c>
      <c r="AC64" s="5">
        <f t="shared" si="11"/>
        <v>0.87</v>
      </c>
      <c r="AD64" s="5">
        <f t="shared" si="11"/>
        <v>0.84</v>
      </c>
      <c r="AE64" s="5">
        <f t="shared" si="11"/>
        <v>0.81</v>
      </c>
      <c r="AF64" s="5">
        <f t="shared" si="11"/>
        <v>0.75</v>
      </c>
      <c r="AG64" s="5">
        <f t="shared" si="11"/>
        <v>0.73</v>
      </c>
      <c r="AH64" s="5">
        <f t="shared" si="8"/>
        <v>0.71</v>
      </c>
      <c r="AI64" s="5">
        <f t="shared" si="8"/>
        <v>0.68</v>
      </c>
      <c r="AJ64" s="5">
        <f t="shared" si="8"/>
        <v>0.66</v>
      </c>
    </row>
    <row r="65" spans="1:36">
      <c r="A65" t="str">
        <f>"electricity_archetype_"&amp;TEXT(ROUND(Table2[[#This Row],[2016]],1),"0.0")</f>
        <v>electricity_archetype_14.2</v>
      </c>
      <c r="B65" s="5">
        <f t="shared" si="2"/>
        <v>14.2</v>
      </c>
      <c r="C65" s="5">
        <f t="shared" si="12"/>
        <v>14.2</v>
      </c>
      <c r="D65" s="5">
        <f t="shared" si="12"/>
        <v>14.2</v>
      </c>
      <c r="E65" s="5">
        <f t="shared" si="12"/>
        <v>13.81</v>
      </c>
      <c r="F65" s="5">
        <f t="shared" si="12"/>
        <v>12.88</v>
      </c>
      <c r="G65" s="5">
        <f t="shared" si="12"/>
        <v>13.15</v>
      </c>
      <c r="H65" s="5">
        <f t="shared" si="12"/>
        <v>12.67</v>
      </c>
      <c r="I65" s="5">
        <f t="shared" si="12"/>
        <v>11.9</v>
      </c>
      <c r="J65" s="5">
        <f t="shared" si="12"/>
        <v>11.5</v>
      </c>
      <c r="K65" s="5">
        <f t="shared" si="12"/>
        <v>11.07</v>
      </c>
      <c r="L65" s="5">
        <f t="shared" si="12"/>
        <v>10.76</v>
      </c>
      <c r="M65" s="5">
        <f t="shared" si="12"/>
        <v>10.73</v>
      </c>
      <c r="N65" s="5">
        <f t="shared" si="12"/>
        <v>10.18</v>
      </c>
      <c r="O65" s="5">
        <f t="shared" si="12"/>
        <v>9.63</v>
      </c>
      <c r="P65" s="5">
        <f t="shared" si="12"/>
        <v>9.16</v>
      </c>
      <c r="Q65" s="5">
        <f t="shared" si="12"/>
        <v>7.42</v>
      </c>
      <c r="R65" s="5">
        <f t="shared" si="12"/>
        <v>5.25</v>
      </c>
      <c r="S65" s="5">
        <f t="shared" si="11"/>
        <v>4.65</v>
      </c>
      <c r="T65" s="5">
        <f t="shared" si="11"/>
        <v>3.04</v>
      </c>
      <c r="U65" s="5">
        <f t="shared" si="11"/>
        <v>1.93</v>
      </c>
      <c r="V65" s="5">
        <f t="shared" si="11"/>
        <v>1.74</v>
      </c>
      <c r="W65" s="5">
        <f t="shared" si="11"/>
        <v>1.47</v>
      </c>
      <c r="X65" s="5">
        <f t="shared" si="11"/>
        <v>1.26</v>
      </c>
      <c r="Y65" s="5">
        <f t="shared" si="11"/>
        <v>1.06</v>
      </c>
      <c r="Z65" s="5">
        <f t="shared" si="11"/>
        <v>1.11</v>
      </c>
      <c r="AA65" s="5">
        <f t="shared" si="11"/>
        <v>1.07</v>
      </c>
      <c r="AB65" s="5">
        <f t="shared" si="11"/>
        <v>1.04</v>
      </c>
      <c r="AC65" s="5">
        <f t="shared" si="11"/>
        <v>0.87</v>
      </c>
      <c r="AD65" s="5">
        <f t="shared" si="11"/>
        <v>0.84</v>
      </c>
      <c r="AE65" s="5">
        <f t="shared" si="11"/>
        <v>0.81</v>
      </c>
      <c r="AF65" s="5">
        <f t="shared" si="11"/>
        <v>0.75</v>
      </c>
      <c r="AG65" s="5">
        <f t="shared" si="11"/>
        <v>0.73</v>
      </c>
      <c r="AH65" s="5">
        <f t="shared" si="8"/>
        <v>0.71</v>
      </c>
      <c r="AI65" s="5">
        <f t="shared" si="8"/>
        <v>0.68</v>
      </c>
      <c r="AJ65" s="5">
        <f t="shared" si="8"/>
        <v>0.66</v>
      </c>
    </row>
    <row r="66" spans="1:36">
      <c r="A66" t="str">
        <f>"electricity_archetype_"&amp;TEXT(ROUND(Table2[[#This Row],[2016]],1),"0.0")</f>
        <v>electricity_archetype_14.1</v>
      </c>
      <c r="B66" s="5">
        <f t="shared" si="2"/>
        <v>14.1</v>
      </c>
      <c r="C66" s="5">
        <f t="shared" si="12"/>
        <v>14.1</v>
      </c>
      <c r="D66" s="5">
        <f t="shared" si="12"/>
        <v>14.1</v>
      </c>
      <c r="E66" s="5">
        <f t="shared" si="12"/>
        <v>13.72</v>
      </c>
      <c r="F66" s="5">
        <f t="shared" si="12"/>
        <v>12.79</v>
      </c>
      <c r="G66" s="5">
        <f t="shared" si="12"/>
        <v>13.06</v>
      </c>
      <c r="H66" s="5">
        <f t="shared" si="12"/>
        <v>12.58</v>
      </c>
      <c r="I66" s="5">
        <f t="shared" si="12"/>
        <v>11.82</v>
      </c>
      <c r="J66" s="5">
        <f t="shared" si="12"/>
        <v>11.42</v>
      </c>
      <c r="K66" s="5">
        <f t="shared" si="12"/>
        <v>10.99</v>
      </c>
      <c r="L66" s="5">
        <f t="shared" si="12"/>
        <v>10.69</v>
      </c>
      <c r="M66" s="5">
        <f t="shared" si="12"/>
        <v>10.66</v>
      </c>
      <c r="N66" s="5">
        <f t="shared" si="12"/>
        <v>10.11</v>
      </c>
      <c r="O66" s="5">
        <f t="shared" si="12"/>
        <v>9.56</v>
      </c>
      <c r="P66" s="5">
        <f t="shared" si="12"/>
        <v>9.09</v>
      </c>
      <c r="Q66" s="5">
        <f t="shared" si="12"/>
        <v>7.37</v>
      </c>
      <c r="R66" s="5">
        <f t="shared" si="12"/>
        <v>5.21</v>
      </c>
      <c r="S66" s="5">
        <f t="shared" si="11"/>
        <v>4.62</v>
      </c>
      <c r="T66" s="5">
        <f t="shared" si="11"/>
        <v>3.02</v>
      </c>
      <c r="U66" s="5">
        <f t="shared" si="11"/>
        <v>1.93</v>
      </c>
      <c r="V66" s="5">
        <f t="shared" si="11"/>
        <v>1.74</v>
      </c>
      <c r="W66" s="5">
        <f t="shared" si="11"/>
        <v>1.46</v>
      </c>
      <c r="X66" s="5">
        <f t="shared" si="11"/>
        <v>1.25</v>
      </c>
      <c r="Y66" s="5">
        <f t="shared" si="11"/>
        <v>1.06</v>
      </c>
      <c r="Z66" s="5">
        <f t="shared" si="11"/>
        <v>1.1</v>
      </c>
      <c r="AA66" s="5">
        <f t="shared" si="11"/>
        <v>1.06</v>
      </c>
      <c r="AB66" s="5">
        <f t="shared" si="11"/>
        <v>1.04</v>
      </c>
      <c r="AC66" s="5">
        <f t="shared" si="11"/>
        <v>0.87</v>
      </c>
      <c r="AD66" s="5">
        <f t="shared" si="11"/>
        <v>0.84</v>
      </c>
      <c r="AE66" s="5">
        <f t="shared" si="11"/>
        <v>0.81</v>
      </c>
      <c r="AF66" s="5">
        <f t="shared" si="11"/>
        <v>0.75</v>
      </c>
      <c r="AG66" s="5">
        <f t="shared" si="11"/>
        <v>0.73</v>
      </c>
      <c r="AH66" s="5">
        <f t="shared" si="8"/>
        <v>0.71</v>
      </c>
      <c r="AI66" s="5">
        <f t="shared" si="8"/>
        <v>0.68</v>
      </c>
      <c r="AJ66" s="5">
        <f t="shared" si="8"/>
        <v>0.66</v>
      </c>
    </row>
    <row r="67" spans="1:36">
      <c r="A67" t="str">
        <f>"electricity_archetype_"&amp;TEXT(ROUND(Table2[[#This Row],[2016]],1),"0.0")</f>
        <v>electricity_archetype_14.0</v>
      </c>
      <c r="B67" s="5">
        <f t="shared" si="2"/>
        <v>14</v>
      </c>
      <c r="C67" s="5">
        <f t="shared" si="12"/>
        <v>14</v>
      </c>
      <c r="D67" s="5">
        <f t="shared" si="12"/>
        <v>14</v>
      </c>
      <c r="E67" s="5">
        <f t="shared" si="12"/>
        <v>13.62</v>
      </c>
      <c r="F67" s="5">
        <f t="shared" si="12"/>
        <v>12.7</v>
      </c>
      <c r="G67" s="5">
        <f t="shared" si="12"/>
        <v>12.96</v>
      </c>
      <c r="H67" s="5">
        <f t="shared" si="12"/>
        <v>12.49</v>
      </c>
      <c r="I67" s="5">
        <f t="shared" si="12"/>
        <v>11.74</v>
      </c>
      <c r="J67" s="5">
        <f t="shared" si="12"/>
        <v>11.34</v>
      </c>
      <c r="K67" s="5">
        <f t="shared" si="12"/>
        <v>10.91</v>
      </c>
      <c r="L67" s="5">
        <f t="shared" si="12"/>
        <v>10.61</v>
      </c>
      <c r="M67" s="5">
        <f t="shared" si="12"/>
        <v>10.58</v>
      </c>
      <c r="N67" s="5">
        <f t="shared" si="12"/>
        <v>10.04</v>
      </c>
      <c r="O67" s="5">
        <f t="shared" si="12"/>
        <v>9.5</v>
      </c>
      <c r="P67" s="5">
        <f t="shared" si="12"/>
        <v>9.03</v>
      </c>
      <c r="Q67" s="5">
        <f t="shared" si="12"/>
        <v>7.32</v>
      </c>
      <c r="R67" s="5">
        <f t="shared" si="12"/>
        <v>5.18</v>
      </c>
      <c r="S67" s="5">
        <f t="shared" si="11"/>
        <v>4.59</v>
      </c>
      <c r="T67" s="5">
        <f t="shared" si="11"/>
        <v>3</v>
      </c>
      <c r="U67" s="5">
        <f t="shared" si="11"/>
        <v>1.92</v>
      </c>
      <c r="V67" s="5">
        <f t="shared" si="11"/>
        <v>1.73</v>
      </c>
      <c r="W67" s="5">
        <f t="shared" si="11"/>
        <v>1.46</v>
      </c>
      <c r="X67" s="5">
        <f t="shared" si="11"/>
        <v>1.25</v>
      </c>
      <c r="Y67" s="5">
        <f t="shared" si="11"/>
        <v>1.05</v>
      </c>
      <c r="Z67" s="5">
        <f t="shared" si="11"/>
        <v>1.1</v>
      </c>
      <c r="AA67" s="5">
        <f t="shared" si="11"/>
        <v>1.06</v>
      </c>
      <c r="AB67" s="5">
        <f t="shared" si="11"/>
        <v>1.04</v>
      </c>
      <c r="AC67" s="5">
        <f t="shared" si="11"/>
        <v>0.87</v>
      </c>
      <c r="AD67" s="5">
        <f t="shared" si="11"/>
        <v>0.84</v>
      </c>
      <c r="AE67" s="5">
        <f t="shared" si="11"/>
        <v>0.81</v>
      </c>
      <c r="AF67" s="5">
        <f t="shared" si="11"/>
        <v>0.75</v>
      </c>
      <c r="AG67" s="5">
        <f t="shared" si="11"/>
        <v>0.73</v>
      </c>
      <c r="AH67" s="5">
        <f t="shared" si="8"/>
        <v>0.7</v>
      </c>
      <c r="AI67" s="5">
        <f t="shared" si="8"/>
        <v>0.68</v>
      </c>
      <c r="AJ67" s="5">
        <f t="shared" si="8"/>
        <v>0.66</v>
      </c>
    </row>
    <row r="68" spans="1:36">
      <c r="A68" t="str">
        <f>"electricity_archetype_"&amp;TEXT(ROUND(Table2[[#This Row],[2016]],1),"0.0")</f>
        <v>electricity_archetype_13.9</v>
      </c>
      <c r="B68" s="5">
        <f t="shared" si="2"/>
        <v>13.9</v>
      </c>
      <c r="C68" s="5">
        <f t="shared" si="12"/>
        <v>13.9</v>
      </c>
      <c r="D68" s="5">
        <f t="shared" si="12"/>
        <v>13.9</v>
      </c>
      <c r="E68" s="5">
        <f t="shared" si="12"/>
        <v>13.52</v>
      </c>
      <c r="F68" s="5">
        <f t="shared" si="12"/>
        <v>12.61</v>
      </c>
      <c r="G68" s="5">
        <f t="shared" si="12"/>
        <v>12.87</v>
      </c>
      <c r="H68" s="5">
        <f t="shared" si="12"/>
        <v>12.4</v>
      </c>
      <c r="I68" s="5">
        <f t="shared" si="12"/>
        <v>11.65</v>
      </c>
      <c r="J68" s="5">
        <f t="shared" si="12"/>
        <v>11.26</v>
      </c>
      <c r="K68" s="5">
        <f t="shared" si="12"/>
        <v>10.84</v>
      </c>
      <c r="L68" s="5">
        <f t="shared" si="12"/>
        <v>10.54</v>
      </c>
      <c r="M68" s="5">
        <f t="shared" si="12"/>
        <v>10.51</v>
      </c>
      <c r="N68" s="5">
        <f t="shared" si="12"/>
        <v>9.97</v>
      </c>
      <c r="O68" s="5">
        <f t="shared" si="12"/>
        <v>9.43</v>
      </c>
      <c r="P68" s="5">
        <f t="shared" si="12"/>
        <v>8.97</v>
      </c>
      <c r="Q68" s="5">
        <f t="shared" si="12"/>
        <v>7.27</v>
      </c>
      <c r="R68" s="5">
        <f t="shared" si="12"/>
        <v>5.15</v>
      </c>
      <c r="S68" s="5">
        <f t="shared" si="11"/>
        <v>4.57</v>
      </c>
      <c r="T68" s="5">
        <f t="shared" si="11"/>
        <v>2.98</v>
      </c>
      <c r="U68" s="5">
        <f t="shared" si="11"/>
        <v>1.91</v>
      </c>
      <c r="V68" s="5">
        <f t="shared" si="11"/>
        <v>1.72</v>
      </c>
      <c r="W68" s="5">
        <f t="shared" si="11"/>
        <v>1.45</v>
      </c>
      <c r="X68" s="5">
        <f t="shared" si="11"/>
        <v>1.25</v>
      </c>
      <c r="Y68" s="5">
        <f t="shared" si="11"/>
        <v>1.05</v>
      </c>
      <c r="Z68" s="5">
        <f t="shared" si="11"/>
        <v>1.1</v>
      </c>
      <c r="AA68" s="5">
        <f t="shared" si="11"/>
        <v>1.06</v>
      </c>
      <c r="AB68" s="5">
        <f t="shared" si="11"/>
        <v>1.03</v>
      </c>
      <c r="AC68" s="5">
        <f t="shared" si="11"/>
        <v>0.87</v>
      </c>
      <c r="AD68" s="5">
        <f t="shared" si="11"/>
        <v>0.84</v>
      </c>
      <c r="AE68" s="5">
        <f t="shared" si="11"/>
        <v>0.81</v>
      </c>
      <c r="AF68" s="5">
        <f t="shared" si="11"/>
        <v>0.75</v>
      </c>
      <c r="AG68" s="5">
        <f t="shared" si="11"/>
        <v>0.73</v>
      </c>
      <c r="AH68" s="5">
        <f t="shared" si="8"/>
        <v>0.7</v>
      </c>
      <c r="AI68" s="5">
        <f t="shared" si="8"/>
        <v>0.68</v>
      </c>
      <c r="AJ68" s="5">
        <f t="shared" si="8"/>
        <v>0.66</v>
      </c>
    </row>
    <row r="69" spans="1:36">
      <c r="A69" t="str">
        <f>"electricity_archetype_"&amp;TEXT(ROUND(Table2[[#This Row],[2016]],1),"0.0")</f>
        <v>electricity_archetype_13.8</v>
      </c>
      <c r="B69" s="5">
        <f t="shared" si="2"/>
        <v>13.8</v>
      </c>
      <c r="C69" s="5">
        <f t="shared" si="12"/>
        <v>13.8</v>
      </c>
      <c r="D69" s="5">
        <f t="shared" si="12"/>
        <v>13.8</v>
      </c>
      <c r="E69" s="5">
        <f t="shared" si="12"/>
        <v>13.42</v>
      </c>
      <c r="F69" s="5">
        <f t="shared" si="12"/>
        <v>12.52</v>
      </c>
      <c r="G69" s="5">
        <f t="shared" si="12"/>
        <v>12.78</v>
      </c>
      <c r="H69" s="5">
        <f t="shared" si="12"/>
        <v>12.31</v>
      </c>
      <c r="I69" s="5">
        <f t="shared" si="12"/>
        <v>11.57</v>
      </c>
      <c r="J69" s="5">
        <f t="shared" si="12"/>
        <v>11.18</v>
      </c>
      <c r="K69" s="5">
        <f t="shared" si="12"/>
        <v>10.76</v>
      </c>
      <c r="L69" s="5">
        <f t="shared" si="12"/>
        <v>10.46</v>
      </c>
      <c r="M69" s="5">
        <f t="shared" si="12"/>
        <v>10.43</v>
      </c>
      <c r="N69" s="5">
        <f t="shared" si="12"/>
        <v>9.9</v>
      </c>
      <c r="O69" s="5">
        <f t="shared" si="12"/>
        <v>9.36</v>
      </c>
      <c r="P69" s="5">
        <f t="shared" si="12"/>
        <v>8.9</v>
      </c>
      <c r="Q69" s="5">
        <f t="shared" si="12"/>
        <v>7.22</v>
      </c>
      <c r="R69" s="5">
        <f t="shared" si="12"/>
        <v>5.11</v>
      </c>
      <c r="S69" s="5">
        <f t="shared" si="11"/>
        <v>4.54</v>
      </c>
      <c r="T69" s="5">
        <f t="shared" si="11"/>
        <v>2.97</v>
      </c>
      <c r="U69" s="5">
        <f t="shared" si="11"/>
        <v>1.9</v>
      </c>
      <c r="V69" s="5">
        <f t="shared" si="11"/>
        <v>1.71</v>
      </c>
      <c r="W69" s="5">
        <f t="shared" si="11"/>
        <v>1.44</v>
      </c>
      <c r="X69" s="5">
        <f t="shared" si="11"/>
        <v>1.24</v>
      </c>
      <c r="Y69" s="5">
        <f t="shared" si="11"/>
        <v>1.05</v>
      </c>
      <c r="Z69" s="5">
        <f t="shared" si="11"/>
        <v>1.09</v>
      </c>
      <c r="AA69" s="5">
        <f t="shared" si="11"/>
        <v>1.06</v>
      </c>
      <c r="AB69" s="5">
        <f t="shared" si="11"/>
        <v>1.03</v>
      </c>
      <c r="AC69" s="5">
        <f t="shared" si="11"/>
        <v>0.87</v>
      </c>
      <c r="AD69" s="5">
        <f t="shared" si="11"/>
        <v>0.84</v>
      </c>
      <c r="AE69" s="5">
        <f t="shared" si="11"/>
        <v>0.8</v>
      </c>
      <c r="AF69" s="5">
        <f t="shared" si="11"/>
        <v>0.75</v>
      </c>
      <c r="AG69" s="5">
        <f t="shared" si="11"/>
        <v>0.73</v>
      </c>
      <c r="AH69" s="5">
        <f t="shared" si="8"/>
        <v>0.7</v>
      </c>
      <c r="AI69" s="5">
        <f t="shared" si="8"/>
        <v>0.68</v>
      </c>
      <c r="AJ69" s="5">
        <f t="shared" si="8"/>
        <v>0.66</v>
      </c>
    </row>
    <row r="70" spans="1:36">
      <c r="A70" t="str">
        <f>"electricity_archetype_"&amp;TEXT(ROUND(Table2[[#This Row],[2016]],1),"0.0")</f>
        <v>electricity_archetype_13.7</v>
      </c>
      <c r="B70" s="5">
        <f t="shared" si="2"/>
        <v>13.7</v>
      </c>
      <c r="C70" s="5">
        <f t="shared" si="12"/>
        <v>13.7</v>
      </c>
      <c r="D70" s="5">
        <f t="shared" si="12"/>
        <v>13.7</v>
      </c>
      <c r="E70" s="5">
        <f t="shared" si="12"/>
        <v>13.33</v>
      </c>
      <c r="F70" s="5">
        <f t="shared" si="12"/>
        <v>12.43</v>
      </c>
      <c r="G70" s="5">
        <f t="shared" si="12"/>
        <v>12.69</v>
      </c>
      <c r="H70" s="5">
        <f t="shared" si="12"/>
        <v>12.23</v>
      </c>
      <c r="I70" s="5">
        <f t="shared" si="12"/>
        <v>11.49</v>
      </c>
      <c r="J70" s="5">
        <f t="shared" si="12"/>
        <v>11.1</v>
      </c>
      <c r="K70" s="5">
        <f t="shared" si="12"/>
        <v>10.68</v>
      </c>
      <c r="L70" s="5">
        <f t="shared" si="12"/>
        <v>10.39</v>
      </c>
      <c r="M70" s="5">
        <f t="shared" si="12"/>
        <v>10.36</v>
      </c>
      <c r="N70" s="5">
        <f t="shared" si="12"/>
        <v>9.83</v>
      </c>
      <c r="O70" s="5">
        <f t="shared" si="12"/>
        <v>9.3</v>
      </c>
      <c r="P70" s="5">
        <f t="shared" si="12"/>
        <v>8.84</v>
      </c>
      <c r="Q70" s="5">
        <f t="shared" si="12"/>
        <v>7.17</v>
      </c>
      <c r="R70" s="5">
        <f t="shared" si="12"/>
        <v>5.08</v>
      </c>
      <c r="S70" s="5">
        <f t="shared" si="11"/>
        <v>4.51</v>
      </c>
      <c r="T70" s="5">
        <f t="shared" si="11"/>
        <v>2.95</v>
      </c>
      <c r="U70" s="5">
        <f t="shared" si="11"/>
        <v>1.89</v>
      </c>
      <c r="V70" s="5">
        <f t="shared" si="11"/>
        <v>1.7</v>
      </c>
      <c r="W70" s="5">
        <f t="shared" si="11"/>
        <v>1.44</v>
      </c>
      <c r="X70" s="5">
        <f t="shared" si="11"/>
        <v>1.24</v>
      </c>
      <c r="Y70" s="5">
        <f t="shared" si="11"/>
        <v>1.04</v>
      </c>
      <c r="Z70" s="5">
        <f t="shared" si="11"/>
        <v>1.09</v>
      </c>
      <c r="AA70" s="5">
        <f t="shared" si="11"/>
        <v>1.05</v>
      </c>
      <c r="AB70" s="5">
        <f t="shared" si="11"/>
        <v>1.03</v>
      </c>
      <c r="AC70" s="5">
        <f t="shared" si="11"/>
        <v>0.86</v>
      </c>
      <c r="AD70" s="5">
        <f t="shared" si="11"/>
        <v>0.84</v>
      </c>
      <c r="AE70" s="5">
        <f t="shared" si="11"/>
        <v>0.8</v>
      </c>
      <c r="AF70" s="5">
        <f t="shared" si="11"/>
        <v>0.75</v>
      </c>
      <c r="AG70" s="5">
        <f t="shared" si="11"/>
        <v>0.73</v>
      </c>
      <c r="AH70" s="5">
        <f t="shared" si="8"/>
        <v>0.7</v>
      </c>
      <c r="AI70" s="5">
        <f t="shared" si="8"/>
        <v>0.68</v>
      </c>
      <c r="AJ70" s="5">
        <f t="shared" si="8"/>
        <v>0.66</v>
      </c>
    </row>
    <row r="71" spans="1:36">
      <c r="A71" t="str">
        <f>"electricity_archetype_"&amp;TEXT(ROUND(Table2[[#This Row],[2016]],1),"0.0")</f>
        <v>electricity_archetype_13.6</v>
      </c>
      <c r="B71" s="5">
        <f t="shared" si="2"/>
        <v>13.6</v>
      </c>
      <c r="C71" s="5">
        <f t="shared" si="12"/>
        <v>13.6</v>
      </c>
      <c r="D71" s="5">
        <f t="shared" si="12"/>
        <v>13.6</v>
      </c>
      <c r="E71" s="5">
        <f t="shared" si="12"/>
        <v>13.23</v>
      </c>
      <c r="F71" s="5">
        <f t="shared" si="12"/>
        <v>12.33</v>
      </c>
      <c r="G71" s="5">
        <f t="shared" si="12"/>
        <v>12.59</v>
      </c>
      <c r="H71" s="5">
        <f t="shared" si="12"/>
        <v>12.14</v>
      </c>
      <c r="I71" s="5">
        <f t="shared" si="12"/>
        <v>11.4</v>
      </c>
      <c r="J71" s="5">
        <f t="shared" si="12"/>
        <v>11.02</v>
      </c>
      <c r="K71" s="5">
        <f t="shared" si="12"/>
        <v>10.61</v>
      </c>
      <c r="L71" s="5">
        <f t="shared" si="12"/>
        <v>10.32</v>
      </c>
      <c r="M71" s="5">
        <f t="shared" si="12"/>
        <v>10.28</v>
      </c>
      <c r="N71" s="5">
        <f t="shared" si="12"/>
        <v>9.76</v>
      </c>
      <c r="O71" s="5">
        <f t="shared" si="12"/>
        <v>9.23</v>
      </c>
      <c r="P71" s="5">
        <f t="shared" si="12"/>
        <v>8.78</v>
      </c>
      <c r="Q71" s="5">
        <f t="shared" si="12"/>
        <v>7.12</v>
      </c>
      <c r="R71" s="5">
        <f t="shared" si="12"/>
        <v>5.05</v>
      </c>
      <c r="S71" s="5">
        <f t="shared" si="11"/>
        <v>4.48</v>
      </c>
      <c r="T71" s="5">
        <f t="shared" si="11"/>
        <v>2.93</v>
      </c>
      <c r="U71" s="5">
        <f t="shared" si="11"/>
        <v>1.88</v>
      </c>
      <c r="V71" s="5">
        <f t="shared" si="11"/>
        <v>1.7</v>
      </c>
      <c r="W71" s="5">
        <f t="shared" si="11"/>
        <v>1.43</v>
      </c>
      <c r="X71" s="5">
        <f t="shared" si="11"/>
        <v>1.23</v>
      </c>
      <c r="Y71" s="5">
        <f t="shared" si="11"/>
        <v>1.04</v>
      </c>
      <c r="Z71" s="5">
        <f t="shared" si="11"/>
        <v>1.09</v>
      </c>
      <c r="AA71" s="5">
        <f t="shared" si="11"/>
        <v>1.05</v>
      </c>
      <c r="AB71" s="5">
        <f t="shared" si="11"/>
        <v>1.03</v>
      </c>
      <c r="AC71" s="5">
        <f t="shared" si="11"/>
        <v>0.86</v>
      </c>
      <c r="AD71" s="5">
        <f t="shared" si="11"/>
        <v>0.83</v>
      </c>
      <c r="AE71" s="5">
        <f t="shared" si="11"/>
        <v>0.8</v>
      </c>
      <c r="AF71" s="5">
        <f t="shared" si="11"/>
        <v>0.75</v>
      </c>
      <c r="AG71" s="5">
        <f t="shared" si="11"/>
        <v>0.73</v>
      </c>
      <c r="AH71" s="5">
        <f t="shared" si="8"/>
        <v>0.7</v>
      </c>
      <c r="AI71" s="5">
        <f t="shared" si="8"/>
        <v>0.68</v>
      </c>
      <c r="AJ71" s="5">
        <f t="shared" si="8"/>
        <v>0.66</v>
      </c>
    </row>
    <row r="72" spans="1:36">
      <c r="A72" t="str">
        <f>"electricity_archetype_"&amp;TEXT(ROUND(Table2[[#This Row],[2016]],1),"0.0")</f>
        <v>electricity_archetype_13.5</v>
      </c>
      <c r="B72" s="5">
        <f t="shared" si="2"/>
        <v>13.5</v>
      </c>
      <c r="C72" s="5">
        <f t="shared" si="12"/>
        <v>13.5</v>
      </c>
      <c r="D72" s="5">
        <f t="shared" si="12"/>
        <v>13.5</v>
      </c>
      <c r="E72" s="5">
        <f t="shared" si="12"/>
        <v>13.13</v>
      </c>
      <c r="F72" s="5">
        <f t="shared" si="12"/>
        <v>12.24</v>
      </c>
      <c r="G72" s="5">
        <f t="shared" si="12"/>
        <v>12.5</v>
      </c>
      <c r="H72" s="5">
        <f t="shared" si="12"/>
        <v>12.05</v>
      </c>
      <c r="I72" s="5">
        <f t="shared" si="12"/>
        <v>11.32</v>
      </c>
      <c r="J72" s="5">
        <f t="shared" si="12"/>
        <v>10.94</v>
      </c>
      <c r="K72" s="5">
        <f t="shared" si="12"/>
        <v>10.53</v>
      </c>
      <c r="L72" s="5">
        <f t="shared" si="12"/>
        <v>10.24</v>
      </c>
      <c r="M72" s="5">
        <f t="shared" si="12"/>
        <v>10.21</v>
      </c>
      <c r="N72" s="5">
        <f t="shared" si="12"/>
        <v>9.69</v>
      </c>
      <c r="O72" s="5">
        <f t="shared" si="12"/>
        <v>9.17</v>
      </c>
      <c r="P72" s="5">
        <f t="shared" si="12"/>
        <v>8.72</v>
      </c>
      <c r="Q72" s="5">
        <f t="shared" si="12"/>
        <v>7.07</v>
      </c>
      <c r="R72" s="5">
        <f t="shared" si="12"/>
        <v>5.01</v>
      </c>
      <c r="S72" s="5">
        <f t="shared" si="11"/>
        <v>4.45</v>
      </c>
      <c r="T72" s="5">
        <f t="shared" si="11"/>
        <v>2.91</v>
      </c>
      <c r="U72" s="5">
        <f t="shared" si="11"/>
        <v>1.87</v>
      </c>
      <c r="V72" s="5">
        <f t="shared" si="11"/>
        <v>1.69</v>
      </c>
      <c r="W72" s="5">
        <f t="shared" si="11"/>
        <v>1.43</v>
      </c>
      <c r="X72" s="5">
        <f t="shared" si="11"/>
        <v>1.23</v>
      </c>
      <c r="Y72" s="5">
        <f t="shared" si="11"/>
        <v>1.04</v>
      </c>
      <c r="Z72" s="5">
        <f t="shared" si="11"/>
        <v>1.08</v>
      </c>
      <c r="AA72" s="5">
        <f t="shared" si="11"/>
        <v>1.05</v>
      </c>
      <c r="AB72" s="5">
        <f t="shared" si="11"/>
        <v>1.02</v>
      </c>
      <c r="AC72" s="5">
        <f t="shared" si="11"/>
        <v>0.86</v>
      </c>
      <c r="AD72" s="5">
        <f t="shared" si="11"/>
        <v>0.83</v>
      </c>
      <c r="AE72" s="5">
        <f t="shared" si="11"/>
        <v>0.8</v>
      </c>
      <c r="AF72" s="5">
        <f t="shared" si="11"/>
        <v>0.75</v>
      </c>
      <c r="AG72" s="5">
        <f t="shared" si="11"/>
        <v>0.73</v>
      </c>
      <c r="AH72" s="5">
        <f t="shared" si="8"/>
        <v>0.7</v>
      </c>
      <c r="AI72" s="5">
        <f t="shared" si="8"/>
        <v>0.68</v>
      </c>
      <c r="AJ72" s="5">
        <f t="shared" si="8"/>
        <v>0.66</v>
      </c>
    </row>
    <row r="73" spans="1:36">
      <c r="A73" t="str">
        <f>"electricity_archetype_"&amp;TEXT(ROUND(Table2[[#This Row],[2016]],1),"0.0")</f>
        <v>electricity_archetype_13.4</v>
      </c>
      <c r="B73" s="5">
        <f t="shared" ref="B73:B136" si="13">MROUND(B72-0.1,0.1)</f>
        <v>13.4</v>
      </c>
      <c r="C73" s="5">
        <f t="shared" si="12"/>
        <v>13.4</v>
      </c>
      <c r="D73" s="5">
        <f t="shared" si="12"/>
        <v>13.4</v>
      </c>
      <c r="E73" s="5">
        <f t="shared" si="12"/>
        <v>13.04</v>
      </c>
      <c r="F73" s="5">
        <f t="shared" si="12"/>
        <v>12.15</v>
      </c>
      <c r="G73" s="5">
        <f t="shared" si="12"/>
        <v>12.41</v>
      </c>
      <c r="H73" s="5">
        <f t="shared" si="12"/>
        <v>11.96</v>
      </c>
      <c r="I73" s="5">
        <f t="shared" si="12"/>
        <v>11.24</v>
      </c>
      <c r="J73" s="5">
        <f t="shared" si="12"/>
        <v>10.86</v>
      </c>
      <c r="K73" s="5">
        <f t="shared" si="12"/>
        <v>10.45</v>
      </c>
      <c r="L73" s="5">
        <f t="shared" si="12"/>
        <v>10.17</v>
      </c>
      <c r="M73" s="5">
        <f t="shared" si="12"/>
        <v>10.13</v>
      </c>
      <c r="N73" s="5">
        <f t="shared" si="12"/>
        <v>9.62</v>
      </c>
      <c r="O73" s="5">
        <f t="shared" si="12"/>
        <v>9.1</v>
      </c>
      <c r="P73" s="5">
        <f t="shared" si="12"/>
        <v>8.65</v>
      </c>
      <c r="Q73" s="5">
        <f t="shared" si="12"/>
        <v>7.02</v>
      </c>
      <c r="R73" s="5">
        <f t="shared" si="12"/>
        <v>4.98</v>
      </c>
      <c r="S73" s="5">
        <f t="shared" si="11"/>
        <v>4.42</v>
      </c>
      <c r="T73" s="5">
        <f t="shared" si="11"/>
        <v>2.9</v>
      </c>
      <c r="U73" s="5">
        <f t="shared" si="11"/>
        <v>1.86</v>
      </c>
      <c r="V73" s="5">
        <f t="shared" si="11"/>
        <v>1.68</v>
      </c>
      <c r="W73" s="5">
        <f t="shared" si="11"/>
        <v>1.42</v>
      </c>
      <c r="X73" s="5">
        <f t="shared" si="11"/>
        <v>1.22</v>
      </c>
      <c r="Y73" s="5">
        <f t="shared" si="11"/>
        <v>1.04</v>
      </c>
      <c r="Z73" s="5">
        <f t="shared" si="11"/>
        <v>1.08</v>
      </c>
      <c r="AA73" s="5">
        <f t="shared" si="11"/>
        <v>1.04</v>
      </c>
      <c r="AB73" s="5">
        <f t="shared" si="11"/>
        <v>1.02</v>
      </c>
      <c r="AC73" s="5">
        <f t="shared" si="11"/>
        <v>0.86</v>
      </c>
      <c r="AD73" s="5">
        <f t="shared" si="11"/>
        <v>0.83</v>
      </c>
      <c r="AE73" s="5">
        <f t="shared" si="11"/>
        <v>0.8</v>
      </c>
      <c r="AF73" s="5">
        <f t="shared" si="11"/>
        <v>0.75</v>
      </c>
      <c r="AG73" s="5">
        <f t="shared" si="11"/>
        <v>0.73</v>
      </c>
      <c r="AH73" s="5">
        <f t="shared" si="8"/>
        <v>0.7</v>
      </c>
      <c r="AI73" s="5">
        <f t="shared" si="8"/>
        <v>0.68</v>
      </c>
      <c r="AJ73" s="5">
        <f t="shared" si="8"/>
        <v>0.66</v>
      </c>
    </row>
    <row r="74" spans="1:36">
      <c r="A74" t="str">
        <f>"electricity_archetype_"&amp;TEXT(ROUND(Table2[[#This Row],[2016]],1),"0.0")</f>
        <v>electricity_archetype_13.3</v>
      </c>
      <c r="B74" s="5">
        <f t="shared" si="13"/>
        <v>13.3</v>
      </c>
      <c r="C74" s="5">
        <f t="shared" si="12"/>
        <v>13.3</v>
      </c>
      <c r="D74" s="5">
        <f t="shared" si="12"/>
        <v>13.3</v>
      </c>
      <c r="E74" s="5">
        <f t="shared" si="12"/>
        <v>12.94</v>
      </c>
      <c r="F74" s="5">
        <f t="shared" si="12"/>
        <v>12.06</v>
      </c>
      <c r="G74" s="5">
        <f t="shared" si="12"/>
        <v>12.32</v>
      </c>
      <c r="H74" s="5">
        <f t="shared" si="12"/>
        <v>11.87</v>
      </c>
      <c r="I74" s="5">
        <f t="shared" si="12"/>
        <v>11.15</v>
      </c>
      <c r="J74" s="5">
        <f t="shared" si="12"/>
        <v>10.78</v>
      </c>
      <c r="K74" s="5">
        <f t="shared" si="12"/>
        <v>10.37</v>
      </c>
      <c r="L74" s="5">
        <f t="shared" si="12"/>
        <v>10.09</v>
      </c>
      <c r="M74" s="5">
        <f t="shared" si="12"/>
        <v>10.06</v>
      </c>
      <c r="N74" s="5">
        <f t="shared" si="12"/>
        <v>9.55</v>
      </c>
      <c r="O74" s="5">
        <f t="shared" si="12"/>
        <v>9.03</v>
      </c>
      <c r="P74" s="5">
        <f t="shared" si="12"/>
        <v>8.59</v>
      </c>
      <c r="Q74" s="5">
        <f t="shared" si="12"/>
        <v>6.97</v>
      </c>
      <c r="R74" s="5">
        <f t="shared" si="12"/>
        <v>4.94</v>
      </c>
      <c r="S74" s="5">
        <f t="shared" si="11"/>
        <v>4.39</v>
      </c>
      <c r="T74" s="5">
        <f t="shared" si="11"/>
        <v>2.88</v>
      </c>
      <c r="U74" s="5">
        <f t="shared" si="11"/>
        <v>1.85</v>
      </c>
      <c r="V74" s="5">
        <f t="shared" si="11"/>
        <v>1.67</v>
      </c>
      <c r="W74" s="5">
        <f t="shared" si="11"/>
        <v>1.41</v>
      </c>
      <c r="X74" s="5">
        <f t="shared" si="11"/>
        <v>1.22</v>
      </c>
      <c r="Y74" s="5">
        <f t="shared" si="11"/>
        <v>1.03</v>
      </c>
      <c r="Z74" s="5">
        <f t="shared" si="11"/>
        <v>1.08</v>
      </c>
      <c r="AA74" s="5">
        <f t="shared" si="11"/>
        <v>1.04</v>
      </c>
      <c r="AB74" s="5">
        <f t="shared" si="11"/>
        <v>1.02</v>
      </c>
      <c r="AC74" s="5">
        <f t="shared" si="11"/>
        <v>0.86</v>
      </c>
      <c r="AD74" s="5">
        <f t="shared" si="11"/>
        <v>0.83</v>
      </c>
      <c r="AE74" s="5">
        <f t="shared" si="11"/>
        <v>0.8</v>
      </c>
      <c r="AF74" s="5">
        <f t="shared" si="11"/>
        <v>0.75</v>
      </c>
      <c r="AG74" s="5">
        <f t="shared" si="11"/>
        <v>0.72</v>
      </c>
      <c r="AH74" s="5">
        <f t="shared" si="8"/>
        <v>0.7</v>
      </c>
      <c r="AI74" s="5">
        <f t="shared" si="8"/>
        <v>0.68</v>
      </c>
      <c r="AJ74" s="5">
        <f t="shared" si="8"/>
        <v>0.66</v>
      </c>
    </row>
    <row r="75" spans="1:36">
      <c r="A75" t="str">
        <f>"electricity_archetype_"&amp;TEXT(ROUND(Table2[[#This Row],[2016]],1),"0.0")</f>
        <v>electricity_archetype_13.2</v>
      </c>
      <c r="B75" s="5">
        <f t="shared" si="13"/>
        <v>13.2</v>
      </c>
      <c r="C75" s="5">
        <f t="shared" si="12"/>
        <v>13.2</v>
      </c>
      <c r="D75" s="5">
        <f t="shared" si="12"/>
        <v>13.2</v>
      </c>
      <c r="E75" s="5">
        <f t="shared" si="12"/>
        <v>12.84</v>
      </c>
      <c r="F75" s="5">
        <f t="shared" si="12"/>
        <v>11.97</v>
      </c>
      <c r="G75" s="5">
        <f t="shared" si="12"/>
        <v>12.23</v>
      </c>
      <c r="H75" s="5">
        <f t="shared" si="12"/>
        <v>11.78</v>
      </c>
      <c r="I75" s="5">
        <f t="shared" si="12"/>
        <v>11.07</v>
      </c>
      <c r="J75" s="5">
        <f t="shared" si="12"/>
        <v>10.7</v>
      </c>
      <c r="K75" s="5">
        <f t="shared" si="12"/>
        <v>10.3</v>
      </c>
      <c r="L75" s="5">
        <f t="shared" si="12"/>
        <v>10.02</v>
      </c>
      <c r="M75" s="5">
        <f t="shared" si="12"/>
        <v>9.99</v>
      </c>
      <c r="N75" s="5">
        <f t="shared" si="12"/>
        <v>9.48</v>
      </c>
      <c r="O75" s="5">
        <f t="shared" si="12"/>
        <v>8.97</v>
      </c>
      <c r="P75" s="5">
        <f t="shared" si="12"/>
        <v>8.53</v>
      </c>
      <c r="Q75" s="5">
        <f t="shared" si="12"/>
        <v>6.92</v>
      </c>
      <c r="R75" s="5">
        <f t="shared" si="12"/>
        <v>4.91</v>
      </c>
      <c r="S75" s="5">
        <f t="shared" si="11"/>
        <v>4.36</v>
      </c>
      <c r="T75" s="5">
        <f t="shared" si="11"/>
        <v>2.86</v>
      </c>
      <c r="U75" s="5">
        <f t="shared" si="11"/>
        <v>1.84</v>
      </c>
      <c r="V75" s="5">
        <f t="shared" si="11"/>
        <v>1.66</v>
      </c>
      <c r="W75" s="5">
        <f t="shared" si="11"/>
        <v>1.41</v>
      </c>
      <c r="X75" s="5">
        <f t="shared" si="11"/>
        <v>1.21</v>
      </c>
      <c r="Y75" s="5">
        <f t="shared" si="11"/>
        <v>1.03</v>
      </c>
      <c r="Z75" s="5">
        <f t="shared" si="11"/>
        <v>1.07</v>
      </c>
      <c r="AA75" s="5">
        <f t="shared" si="11"/>
        <v>1.04</v>
      </c>
      <c r="AB75" s="5">
        <f t="shared" si="11"/>
        <v>1.01</v>
      </c>
      <c r="AC75" s="5">
        <f t="shared" si="11"/>
        <v>0.86</v>
      </c>
      <c r="AD75" s="5">
        <f t="shared" si="11"/>
        <v>0.83</v>
      </c>
      <c r="AE75" s="5">
        <f t="shared" si="11"/>
        <v>0.8</v>
      </c>
      <c r="AF75" s="5">
        <f t="shared" si="11"/>
        <v>0.75</v>
      </c>
      <c r="AG75" s="5">
        <f t="shared" si="11"/>
        <v>0.72</v>
      </c>
      <c r="AH75" s="5">
        <f t="shared" si="8"/>
        <v>0.7</v>
      </c>
      <c r="AI75" s="5">
        <f t="shared" si="8"/>
        <v>0.68</v>
      </c>
      <c r="AJ75" s="5">
        <f t="shared" si="8"/>
        <v>0.66</v>
      </c>
    </row>
    <row r="76" spans="1:36">
      <c r="A76" t="str">
        <f>"electricity_archetype_"&amp;TEXT(ROUND(Table2[[#This Row],[2016]],1),"0.0")</f>
        <v>electricity_archetype_13.1</v>
      </c>
      <c r="B76" s="5">
        <f t="shared" si="13"/>
        <v>13.1</v>
      </c>
      <c r="C76" s="5">
        <f t="shared" si="12"/>
        <v>13.1</v>
      </c>
      <c r="D76" s="5">
        <f t="shared" si="12"/>
        <v>13.1</v>
      </c>
      <c r="E76" s="5">
        <f t="shared" si="12"/>
        <v>12.74</v>
      </c>
      <c r="F76" s="5">
        <f t="shared" si="12"/>
        <v>11.88</v>
      </c>
      <c r="G76" s="5">
        <f t="shared" si="12"/>
        <v>12.13</v>
      </c>
      <c r="H76" s="5">
        <f t="shared" si="12"/>
        <v>11.69</v>
      </c>
      <c r="I76" s="5">
        <f t="shared" si="12"/>
        <v>10.99</v>
      </c>
      <c r="J76" s="5">
        <f t="shared" si="12"/>
        <v>10.62</v>
      </c>
      <c r="K76" s="5">
        <f t="shared" si="12"/>
        <v>10.22</v>
      </c>
      <c r="L76" s="5">
        <f t="shared" si="12"/>
        <v>9.94</v>
      </c>
      <c r="M76" s="5">
        <f t="shared" si="12"/>
        <v>9.91</v>
      </c>
      <c r="N76" s="5">
        <f t="shared" si="12"/>
        <v>9.41</v>
      </c>
      <c r="O76" s="5">
        <f t="shared" si="12"/>
        <v>8.9</v>
      </c>
      <c r="P76" s="5">
        <f t="shared" si="12"/>
        <v>8.47</v>
      </c>
      <c r="Q76" s="5">
        <f t="shared" si="12"/>
        <v>6.87</v>
      </c>
      <c r="R76" s="5">
        <f t="shared" si="12"/>
        <v>4.88</v>
      </c>
      <c r="S76" s="5">
        <f t="shared" si="11"/>
        <v>4.33</v>
      </c>
      <c r="T76" s="5">
        <f t="shared" si="11"/>
        <v>2.84</v>
      </c>
      <c r="U76" s="5">
        <f t="shared" si="11"/>
        <v>1.83</v>
      </c>
      <c r="V76" s="5">
        <f t="shared" si="11"/>
        <v>1.66</v>
      </c>
      <c r="W76" s="5">
        <f t="shared" si="11"/>
        <v>1.4</v>
      </c>
      <c r="X76" s="5">
        <f t="shared" si="11"/>
        <v>1.21</v>
      </c>
      <c r="Y76" s="5">
        <f t="shared" si="11"/>
        <v>1.03</v>
      </c>
      <c r="Z76" s="5">
        <f t="shared" si="11"/>
        <v>1.07</v>
      </c>
      <c r="AA76" s="5">
        <f t="shared" si="11"/>
        <v>1.03</v>
      </c>
      <c r="AB76" s="5">
        <f t="shared" si="11"/>
        <v>1.01</v>
      </c>
      <c r="AC76" s="5">
        <f t="shared" si="11"/>
        <v>0.85</v>
      </c>
      <c r="AD76" s="5">
        <f t="shared" si="11"/>
        <v>0.83</v>
      </c>
      <c r="AE76" s="5">
        <f t="shared" si="11"/>
        <v>0.8</v>
      </c>
      <c r="AF76" s="5">
        <f t="shared" si="11"/>
        <v>0.75</v>
      </c>
      <c r="AG76" s="5">
        <f t="shared" si="11"/>
        <v>0.72</v>
      </c>
      <c r="AH76" s="5">
        <f t="shared" si="8"/>
        <v>0.7</v>
      </c>
      <c r="AI76" s="5">
        <f t="shared" si="8"/>
        <v>0.68</v>
      </c>
      <c r="AJ76" s="5">
        <f t="shared" si="8"/>
        <v>0.66</v>
      </c>
    </row>
    <row r="77" spans="1:36">
      <c r="A77" t="str">
        <f>"electricity_archetype_"&amp;TEXT(ROUND(Table2[[#This Row],[2016]],1),"0.0")</f>
        <v>electricity_archetype_13.0</v>
      </c>
      <c r="B77" s="5">
        <f t="shared" si="13"/>
        <v>13</v>
      </c>
      <c r="C77" s="5">
        <f t="shared" si="12"/>
        <v>13</v>
      </c>
      <c r="D77" s="5">
        <f t="shared" si="12"/>
        <v>13</v>
      </c>
      <c r="E77" s="5">
        <f t="shared" si="12"/>
        <v>12.65</v>
      </c>
      <c r="F77" s="5">
        <f t="shared" si="12"/>
        <v>11.79</v>
      </c>
      <c r="G77" s="5">
        <f t="shared" si="12"/>
        <v>12.04</v>
      </c>
      <c r="H77" s="5">
        <f t="shared" si="12"/>
        <v>11.6</v>
      </c>
      <c r="I77" s="5">
        <f t="shared" si="12"/>
        <v>10.9</v>
      </c>
      <c r="J77" s="5">
        <f t="shared" si="12"/>
        <v>10.54</v>
      </c>
      <c r="K77" s="5">
        <f t="shared" si="12"/>
        <v>10.14</v>
      </c>
      <c r="L77" s="5">
        <f t="shared" si="12"/>
        <v>9.87</v>
      </c>
      <c r="M77" s="5">
        <f t="shared" si="12"/>
        <v>9.84</v>
      </c>
      <c r="N77" s="5">
        <f t="shared" si="12"/>
        <v>9.34</v>
      </c>
      <c r="O77" s="5">
        <f t="shared" si="12"/>
        <v>8.83</v>
      </c>
      <c r="P77" s="5">
        <f t="shared" si="12"/>
        <v>8.4</v>
      </c>
      <c r="Q77" s="5">
        <f t="shared" si="12"/>
        <v>6.82</v>
      </c>
      <c r="R77" s="5">
        <f t="shared" si="12"/>
        <v>4.84</v>
      </c>
      <c r="S77" s="5">
        <f t="shared" si="11"/>
        <v>4.3</v>
      </c>
      <c r="T77" s="5">
        <f t="shared" si="11"/>
        <v>2.83</v>
      </c>
      <c r="U77" s="5">
        <f t="shared" si="11"/>
        <v>1.82</v>
      </c>
      <c r="V77" s="5">
        <f t="shared" si="11"/>
        <v>1.65</v>
      </c>
      <c r="W77" s="5">
        <f t="shared" si="11"/>
        <v>1.4</v>
      </c>
      <c r="X77" s="5">
        <f t="shared" si="11"/>
        <v>1.21</v>
      </c>
      <c r="Y77" s="5">
        <f t="shared" si="11"/>
        <v>1.02</v>
      </c>
      <c r="Z77" s="5">
        <f t="shared" si="11"/>
        <v>1.07</v>
      </c>
      <c r="AA77" s="5">
        <f t="shared" si="11"/>
        <v>1.03</v>
      </c>
      <c r="AB77" s="5">
        <f t="shared" si="11"/>
        <v>1.01</v>
      </c>
      <c r="AC77" s="5">
        <f t="shared" si="11"/>
        <v>0.85</v>
      </c>
      <c r="AD77" s="5">
        <f t="shared" si="11"/>
        <v>0.83</v>
      </c>
      <c r="AE77" s="5">
        <f t="shared" si="11"/>
        <v>0.8</v>
      </c>
      <c r="AF77" s="5">
        <f t="shared" si="11"/>
        <v>0.75</v>
      </c>
      <c r="AG77" s="5">
        <f t="shared" si="11"/>
        <v>0.72</v>
      </c>
      <c r="AH77" s="5">
        <f t="shared" si="8"/>
        <v>0.7</v>
      </c>
      <c r="AI77" s="5">
        <f t="shared" si="8"/>
        <v>0.68</v>
      </c>
      <c r="AJ77" s="5">
        <f t="shared" si="8"/>
        <v>0.66</v>
      </c>
    </row>
    <row r="78" spans="1:36">
      <c r="A78" t="str">
        <f>"electricity_archetype_"&amp;TEXT(ROUND(Table2[[#This Row],[2016]],1),"0.0")</f>
        <v>electricity_archetype_12.9</v>
      </c>
      <c r="B78" s="5">
        <f t="shared" si="13"/>
        <v>12.9</v>
      </c>
      <c r="C78" s="5">
        <f t="shared" si="12"/>
        <v>12.9</v>
      </c>
      <c r="D78" s="5">
        <f t="shared" si="12"/>
        <v>12.9</v>
      </c>
      <c r="E78" s="5">
        <f t="shared" si="12"/>
        <v>12.55</v>
      </c>
      <c r="F78" s="5">
        <f t="shared" si="12"/>
        <v>11.7</v>
      </c>
      <c r="G78" s="5">
        <f t="shared" si="12"/>
        <v>11.95</v>
      </c>
      <c r="H78" s="5">
        <f t="shared" si="12"/>
        <v>11.52</v>
      </c>
      <c r="I78" s="5">
        <f t="shared" si="12"/>
        <v>10.82</v>
      </c>
      <c r="J78" s="5">
        <f t="shared" si="12"/>
        <v>10.46</v>
      </c>
      <c r="K78" s="5">
        <f t="shared" si="12"/>
        <v>10.07</v>
      </c>
      <c r="L78" s="5">
        <f t="shared" si="12"/>
        <v>9.79</v>
      </c>
      <c r="M78" s="5">
        <f t="shared" si="12"/>
        <v>9.76</v>
      </c>
      <c r="N78" s="5">
        <f t="shared" si="12"/>
        <v>9.27</v>
      </c>
      <c r="O78" s="5">
        <f t="shared" si="12"/>
        <v>8.77</v>
      </c>
      <c r="P78" s="5">
        <f t="shared" si="12"/>
        <v>8.34</v>
      </c>
      <c r="Q78" s="5">
        <f t="shared" si="12"/>
        <v>6.77</v>
      </c>
      <c r="R78" s="5">
        <f t="shared" ref="R78:AG93" si="14">MROUND((($B78-$AJ$2)*((R$2-$AJ$2)/($B$2-$AJ$2)))+$AJ$2,0.01)</f>
        <v>4.81</v>
      </c>
      <c r="S78" s="5">
        <f t="shared" si="14"/>
        <v>4.27</v>
      </c>
      <c r="T78" s="5">
        <f t="shared" si="14"/>
        <v>2.81</v>
      </c>
      <c r="U78" s="5">
        <f t="shared" si="14"/>
        <v>1.81</v>
      </c>
      <c r="V78" s="5">
        <f t="shared" si="14"/>
        <v>1.64</v>
      </c>
      <c r="W78" s="5">
        <f t="shared" si="14"/>
        <v>1.39</v>
      </c>
      <c r="X78" s="5">
        <f t="shared" si="14"/>
        <v>1.2</v>
      </c>
      <c r="Y78" s="5">
        <f t="shared" si="14"/>
        <v>1.02</v>
      </c>
      <c r="Z78" s="5">
        <f t="shared" si="14"/>
        <v>1.06</v>
      </c>
      <c r="AA78" s="5">
        <f t="shared" si="14"/>
        <v>1.03</v>
      </c>
      <c r="AB78" s="5">
        <f t="shared" si="14"/>
        <v>1.01</v>
      </c>
      <c r="AC78" s="5">
        <f t="shared" si="14"/>
        <v>0.85</v>
      </c>
      <c r="AD78" s="5">
        <f t="shared" si="14"/>
        <v>0.82</v>
      </c>
      <c r="AE78" s="5">
        <f t="shared" si="14"/>
        <v>0.79</v>
      </c>
      <c r="AF78" s="5">
        <f t="shared" si="14"/>
        <v>0.74</v>
      </c>
      <c r="AG78" s="5">
        <f t="shared" si="14"/>
        <v>0.72</v>
      </c>
      <c r="AH78" s="5">
        <f t="shared" si="8"/>
        <v>0.7</v>
      </c>
      <c r="AI78" s="5">
        <f t="shared" si="8"/>
        <v>0.68</v>
      </c>
      <c r="AJ78" s="5">
        <f t="shared" si="8"/>
        <v>0.66</v>
      </c>
    </row>
    <row r="79" spans="1:36">
      <c r="A79" t="str">
        <f>"electricity_archetype_"&amp;TEXT(ROUND(Table2[[#This Row],[2016]],1),"0.0")</f>
        <v>electricity_archetype_12.8</v>
      </c>
      <c r="B79" s="5">
        <f t="shared" si="13"/>
        <v>12.8</v>
      </c>
      <c r="C79" s="5">
        <f t="shared" ref="C79:R94" si="15">MROUND((($B79-$AJ$2)*((C$2-$AJ$2)/($B$2-$AJ$2)))+$AJ$2,0.01)</f>
        <v>12.8</v>
      </c>
      <c r="D79" s="5">
        <f t="shared" si="15"/>
        <v>12.8</v>
      </c>
      <c r="E79" s="5">
        <f t="shared" si="15"/>
        <v>12.45</v>
      </c>
      <c r="F79" s="5">
        <f t="shared" si="15"/>
        <v>11.61</v>
      </c>
      <c r="G79" s="5">
        <f t="shared" si="15"/>
        <v>11.86</v>
      </c>
      <c r="H79" s="5">
        <f t="shared" si="15"/>
        <v>11.43</v>
      </c>
      <c r="I79" s="5">
        <f t="shared" si="15"/>
        <v>10.74</v>
      </c>
      <c r="J79" s="5">
        <f t="shared" si="15"/>
        <v>10.38</v>
      </c>
      <c r="K79" s="5">
        <f t="shared" si="15"/>
        <v>9.99</v>
      </c>
      <c r="L79" s="5">
        <f t="shared" si="15"/>
        <v>9.72</v>
      </c>
      <c r="M79" s="5">
        <f t="shared" si="15"/>
        <v>9.69</v>
      </c>
      <c r="N79" s="5">
        <f t="shared" si="15"/>
        <v>9.2</v>
      </c>
      <c r="O79" s="5">
        <f t="shared" si="15"/>
        <v>8.7</v>
      </c>
      <c r="P79" s="5">
        <f t="shared" si="15"/>
        <v>8.28</v>
      </c>
      <c r="Q79" s="5">
        <f t="shared" si="15"/>
        <v>6.72</v>
      </c>
      <c r="R79" s="5">
        <f t="shared" si="15"/>
        <v>4.77</v>
      </c>
      <c r="S79" s="5">
        <f t="shared" si="14"/>
        <v>4.24</v>
      </c>
      <c r="T79" s="5">
        <f t="shared" si="14"/>
        <v>2.79</v>
      </c>
      <c r="U79" s="5">
        <f t="shared" si="14"/>
        <v>1.8</v>
      </c>
      <c r="V79" s="5">
        <f t="shared" si="14"/>
        <v>1.63</v>
      </c>
      <c r="W79" s="5">
        <f t="shared" si="14"/>
        <v>1.38</v>
      </c>
      <c r="X79" s="5">
        <f t="shared" si="14"/>
        <v>1.2</v>
      </c>
      <c r="Y79" s="5">
        <f t="shared" si="14"/>
        <v>1.02</v>
      </c>
      <c r="Z79" s="5">
        <f t="shared" si="14"/>
        <v>1.06</v>
      </c>
      <c r="AA79" s="5">
        <f t="shared" si="14"/>
        <v>1.02</v>
      </c>
      <c r="AB79" s="5">
        <f t="shared" si="14"/>
        <v>1</v>
      </c>
      <c r="AC79" s="5">
        <f t="shared" si="14"/>
        <v>0.85</v>
      </c>
      <c r="AD79" s="5">
        <f t="shared" si="14"/>
        <v>0.82</v>
      </c>
      <c r="AE79" s="5">
        <f t="shared" si="14"/>
        <v>0.79</v>
      </c>
      <c r="AF79" s="5">
        <f t="shared" si="14"/>
        <v>0.74</v>
      </c>
      <c r="AG79" s="5">
        <f t="shared" si="14"/>
        <v>0.72</v>
      </c>
      <c r="AH79" s="5">
        <f t="shared" si="8"/>
        <v>0.7</v>
      </c>
      <c r="AI79" s="5">
        <f t="shared" si="8"/>
        <v>0.68</v>
      </c>
      <c r="AJ79" s="5">
        <f t="shared" si="8"/>
        <v>0.66</v>
      </c>
    </row>
    <row r="80" spans="1:36">
      <c r="A80" t="str">
        <f>"electricity_archetype_"&amp;TEXT(ROUND(Table2[[#This Row],[2016]],1),"0.0")</f>
        <v>electricity_archetype_12.7</v>
      </c>
      <c r="B80" s="5">
        <f t="shared" si="13"/>
        <v>12.7</v>
      </c>
      <c r="C80" s="5">
        <f t="shared" si="15"/>
        <v>12.7</v>
      </c>
      <c r="D80" s="5">
        <f t="shared" si="15"/>
        <v>12.7</v>
      </c>
      <c r="E80" s="5">
        <f t="shared" si="15"/>
        <v>12.36</v>
      </c>
      <c r="F80" s="5">
        <f t="shared" si="15"/>
        <v>11.52</v>
      </c>
      <c r="G80" s="5">
        <f t="shared" si="15"/>
        <v>11.76</v>
      </c>
      <c r="H80" s="5">
        <f t="shared" si="15"/>
        <v>11.34</v>
      </c>
      <c r="I80" s="5">
        <f t="shared" si="15"/>
        <v>10.66</v>
      </c>
      <c r="J80" s="5">
        <f t="shared" si="15"/>
        <v>10.3</v>
      </c>
      <c r="K80" s="5">
        <f t="shared" si="15"/>
        <v>9.91</v>
      </c>
      <c r="L80" s="5">
        <f t="shared" si="15"/>
        <v>9.64</v>
      </c>
      <c r="M80" s="5">
        <f t="shared" si="15"/>
        <v>9.61</v>
      </c>
      <c r="N80" s="5">
        <f t="shared" si="15"/>
        <v>9.13</v>
      </c>
      <c r="O80" s="5">
        <f t="shared" si="15"/>
        <v>8.64</v>
      </c>
      <c r="P80" s="5">
        <f t="shared" si="15"/>
        <v>8.21</v>
      </c>
      <c r="Q80" s="5">
        <f t="shared" si="15"/>
        <v>6.67</v>
      </c>
      <c r="R80" s="5">
        <f t="shared" si="15"/>
        <v>4.74</v>
      </c>
      <c r="S80" s="5">
        <f t="shared" si="14"/>
        <v>4.21</v>
      </c>
      <c r="T80" s="5">
        <f t="shared" si="14"/>
        <v>2.77</v>
      </c>
      <c r="U80" s="5">
        <f t="shared" si="14"/>
        <v>1.79</v>
      </c>
      <c r="V80" s="5">
        <f t="shared" si="14"/>
        <v>1.62</v>
      </c>
      <c r="W80" s="5">
        <f t="shared" si="14"/>
        <v>1.38</v>
      </c>
      <c r="X80" s="5">
        <f t="shared" si="14"/>
        <v>1.19</v>
      </c>
      <c r="Y80" s="5">
        <f t="shared" si="14"/>
        <v>1.01</v>
      </c>
      <c r="Z80" s="5">
        <f t="shared" si="14"/>
        <v>1.06</v>
      </c>
      <c r="AA80" s="5">
        <f t="shared" si="14"/>
        <v>1.02</v>
      </c>
      <c r="AB80" s="5">
        <f t="shared" si="14"/>
        <v>1</v>
      </c>
      <c r="AC80" s="5">
        <f t="shared" si="14"/>
        <v>0.85</v>
      </c>
      <c r="AD80" s="5">
        <f t="shared" si="14"/>
        <v>0.82</v>
      </c>
      <c r="AE80" s="5">
        <f t="shared" si="14"/>
        <v>0.79</v>
      </c>
      <c r="AF80" s="5">
        <f t="shared" si="14"/>
        <v>0.74</v>
      </c>
      <c r="AG80" s="5">
        <f t="shared" si="14"/>
        <v>0.72</v>
      </c>
      <c r="AH80" s="5">
        <f t="shared" si="8"/>
        <v>0.7</v>
      </c>
      <c r="AI80" s="5">
        <f t="shared" si="8"/>
        <v>0.68</v>
      </c>
      <c r="AJ80" s="5">
        <f t="shared" si="8"/>
        <v>0.66</v>
      </c>
    </row>
    <row r="81" spans="1:36">
      <c r="A81" t="str">
        <f>"electricity_archetype_"&amp;TEXT(ROUND(Table2[[#This Row],[2016]],1),"0.0")</f>
        <v>electricity_archetype_12.6</v>
      </c>
      <c r="B81" s="5">
        <f t="shared" si="13"/>
        <v>12.6</v>
      </c>
      <c r="C81" s="5">
        <f t="shared" si="15"/>
        <v>12.6</v>
      </c>
      <c r="D81" s="5">
        <f t="shared" si="15"/>
        <v>12.6</v>
      </c>
      <c r="E81" s="5">
        <f t="shared" si="15"/>
        <v>12.26</v>
      </c>
      <c r="F81" s="5">
        <f t="shared" si="15"/>
        <v>11.43</v>
      </c>
      <c r="G81" s="5">
        <f t="shared" si="15"/>
        <v>11.67</v>
      </c>
      <c r="H81" s="5">
        <f t="shared" si="15"/>
        <v>11.25</v>
      </c>
      <c r="I81" s="5">
        <f t="shared" si="15"/>
        <v>10.57</v>
      </c>
      <c r="J81" s="5">
        <f t="shared" si="15"/>
        <v>10.22</v>
      </c>
      <c r="K81" s="5">
        <f t="shared" si="15"/>
        <v>9.84</v>
      </c>
      <c r="L81" s="5">
        <f t="shared" si="15"/>
        <v>9.57</v>
      </c>
      <c r="M81" s="5">
        <f t="shared" si="15"/>
        <v>9.54</v>
      </c>
      <c r="N81" s="5">
        <f t="shared" si="15"/>
        <v>9.06</v>
      </c>
      <c r="O81" s="5">
        <f t="shared" si="15"/>
        <v>8.57</v>
      </c>
      <c r="P81" s="5">
        <f t="shared" si="15"/>
        <v>8.15</v>
      </c>
      <c r="Q81" s="5">
        <f t="shared" si="15"/>
        <v>6.62</v>
      </c>
      <c r="R81" s="5">
        <f t="shared" si="15"/>
        <v>4.71</v>
      </c>
      <c r="S81" s="5">
        <f t="shared" si="14"/>
        <v>4.18</v>
      </c>
      <c r="T81" s="5">
        <f t="shared" si="14"/>
        <v>2.76</v>
      </c>
      <c r="U81" s="5">
        <f t="shared" si="14"/>
        <v>1.78</v>
      </c>
      <c r="V81" s="5">
        <f t="shared" si="14"/>
        <v>1.62</v>
      </c>
      <c r="W81" s="5">
        <f t="shared" si="14"/>
        <v>1.37</v>
      </c>
      <c r="X81" s="5">
        <f t="shared" si="14"/>
        <v>1.19</v>
      </c>
      <c r="Y81" s="5">
        <f t="shared" si="14"/>
        <v>1.01</v>
      </c>
      <c r="Z81" s="5">
        <f t="shared" si="14"/>
        <v>1.05</v>
      </c>
      <c r="AA81" s="5">
        <f t="shared" si="14"/>
        <v>1.02</v>
      </c>
      <c r="AB81" s="5">
        <f t="shared" si="14"/>
        <v>1</v>
      </c>
      <c r="AC81" s="5">
        <f t="shared" si="14"/>
        <v>0.85</v>
      </c>
      <c r="AD81" s="5">
        <f t="shared" si="14"/>
        <v>0.82</v>
      </c>
      <c r="AE81" s="5">
        <f t="shared" si="14"/>
        <v>0.79</v>
      </c>
      <c r="AF81" s="5">
        <f t="shared" si="14"/>
        <v>0.74</v>
      </c>
      <c r="AG81" s="5">
        <f t="shared" si="14"/>
        <v>0.72</v>
      </c>
      <c r="AH81" s="5">
        <f t="shared" si="8"/>
        <v>0.7</v>
      </c>
      <c r="AI81" s="5">
        <f t="shared" si="8"/>
        <v>0.68</v>
      </c>
      <c r="AJ81" s="5">
        <f t="shared" si="8"/>
        <v>0.66</v>
      </c>
    </row>
    <row r="82" spans="1:36">
      <c r="A82" t="str">
        <f>"electricity_archetype_"&amp;TEXT(ROUND(Table2[[#This Row],[2016]],1),"0.0")</f>
        <v>electricity_archetype_12.5</v>
      </c>
      <c r="B82" s="5">
        <f t="shared" si="13"/>
        <v>12.5</v>
      </c>
      <c r="C82" s="5">
        <f t="shared" si="15"/>
        <v>12.5</v>
      </c>
      <c r="D82" s="5">
        <f t="shared" si="15"/>
        <v>12.5</v>
      </c>
      <c r="E82" s="5">
        <f t="shared" si="15"/>
        <v>12.16</v>
      </c>
      <c r="F82" s="5">
        <f t="shared" si="15"/>
        <v>11.34</v>
      </c>
      <c r="G82" s="5">
        <f t="shared" si="15"/>
        <v>11.58</v>
      </c>
      <c r="H82" s="5">
        <f t="shared" si="15"/>
        <v>11.16</v>
      </c>
      <c r="I82" s="5">
        <f t="shared" si="15"/>
        <v>10.49</v>
      </c>
      <c r="J82" s="5">
        <f t="shared" si="15"/>
        <v>10.14</v>
      </c>
      <c r="K82" s="5">
        <f t="shared" si="15"/>
        <v>9.76</v>
      </c>
      <c r="L82" s="5">
        <f t="shared" si="15"/>
        <v>9.49</v>
      </c>
      <c r="M82" s="5">
        <f t="shared" si="15"/>
        <v>9.47</v>
      </c>
      <c r="N82" s="5">
        <f t="shared" si="15"/>
        <v>8.99</v>
      </c>
      <c r="O82" s="5">
        <f t="shared" si="15"/>
        <v>8.5</v>
      </c>
      <c r="P82" s="5">
        <f t="shared" si="15"/>
        <v>8.09</v>
      </c>
      <c r="Q82" s="5">
        <f t="shared" si="15"/>
        <v>6.57</v>
      </c>
      <c r="R82" s="5">
        <f t="shared" si="15"/>
        <v>4.67</v>
      </c>
      <c r="S82" s="5">
        <f t="shared" si="14"/>
        <v>4.15</v>
      </c>
      <c r="T82" s="5">
        <f t="shared" si="14"/>
        <v>2.74</v>
      </c>
      <c r="U82" s="5">
        <f t="shared" si="14"/>
        <v>1.77</v>
      </c>
      <c r="V82" s="5">
        <f t="shared" si="14"/>
        <v>1.61</v>
      </c>
      <c r="W82" s="5">
        <f t="shared" si="14"/>
        <v>1.37</v>
      </c>
      <c r="X82" s="5">
        <f t="shared" si="14"/>
        <v>1.18</v>
      </c>
      <c r="Y82" s="5">
        <f t="shared" si="14"/>
        <v>1.01</v>
      </c>
      <c r="Z82" s="5">
        <f t="shared" si="14"/>
        <v>1.05</v>
      </c>
      <c r="AA82" s="5">
        <f t="shared" si="14"/>
        <v>1.02</v>
      </c>
      <c r="AB82" s="5">
        <f t="shared" si="14"/>
        <v>0.99</v>
      </c>
      <c r="AC82" s="5">
        <f t="shared" si="14"/>
        <v>0.84</v>
      </c>
      <c r="AD82" s="5">
        <f t="shared" si="14"/>
        <v>0.82</v>
      </c>
      <c r="AE82" s="5">
        <f t="shared" si="14"/>
        <v>0.79</v>
      </c>
      <c r="AF82" s="5">
        <f t="shared" si="14"/>
        <v>0.74</v>
      </c>
      <c r="AG82" s="5">
        <f t="shared" si="14"/>
        <v>0.72</v>
      </c>
      <c r="AH82" s="5">
        <f t="shared" si="8"/>
        <v>0.7</v>
      </c>
      <c r="AI82" s="5">
        <f t="shared" si="8"/>
        <v>0.68</v>
      </c>
      <c r="AJ82" s="5">
        <f t="shared" si="8"/>
        <v>0.66</v>
      </c>
    </row>
    <row r="83" spans="1:36">
      <c r="A83" t="str">
        <f>"electricity_archetype_"&amp;TEXT(ROUND(Table2[[#This Row],[2016]],1),"0.0")</f>
        <v>electricity_archetype_12.4</v>
      </c>
      <c r="B83" s="5">
        <f t="shared" si="13"/>
        <v>12.4</v>
      </c>
      <c r="C83" s="5">
        <f t="shared" si="15"/>
        <v>12.4</v>
      </c>
      <c r="D83" s="5">
        <f t="shared" si="15"/>
        <v>12.4</v>
      </c>
      <c r="E83" s="5">
        <f t="shared" si="15"/>
        <v>12.06</v>
      </c>
      <c r="F83" s="5">
        <f t="shared" si="15"/>
        <v>11.25</v>
      </c>
      <c r="G83" s="5">
        <f t="shared" si="15"/>
        <v>11.49</v>
      </c>
      <c r="H83" s="5">
        <f t="shared" si="15"/>
        <v>11.07</v>
      </c>
      <c r="I83" s="5">
        <f t="shared" si="15"/>
        <v>10.41</v>
      </c>
      <c r="J83" s="5">
        <f t="shared" si="15"/>
        <v>10.06</v>
      </c>
      <c r="K83" s="5">
        <f t="shared" si="15"/>
        <v>9.68</v>
      </c>
      <c r="L83" s="5">
        <f t="shared" si="15"/>
        <v>9.42</v>
      </c>
      <c r="M83" s="5">
        <f t="shared" si="15"/>
        <v>9.39</v>
      </c>
      <c r="N83" s="5">
        <f t="shared" si="15"/>
        <v>8.92</v>
      </c>
      <c r="O83" s="5">
        <f t="shared" si="15"/>
        <v>8.44</v>
      </c>
      <c r="P83" s="5">
        <f t="shared" si="15"/>
        <v>8.03</v>
      </c>
      <c r="Q83" s="5">
        <f t="shared" si="15"/>
        <v>6.52</v>
      </c>
      <c r="R83" s="5">
        <f t="shared" si="15"/>
        <v>4.64</v>
      </c>
      <c r="S83" s="5">
        <f t="shared" si="14"/>
        <v>4.12</v>
      </c>
      <c r="T83" s="5">
        <f t="shared" si="14"/>
        <v>2.72</v>
      </c>
      <c r="U83" s="5">
        <f t="shared" si="14"/>
        <v>1.77</v>
      </c>
      <c r="V83" s="5">
        <f t="shared" si="14"/>
        <v>1.6</v>
      </c>
      <c r="W83" s="5">
        <f t="shared" si="14"/>
        <v>1.36</v>
      </c>
      <c r="X83" s="5">
        <f t="shared" si="14"/>
        <v>1.18</v>
      </c>
      <c r="Y83" s="5">
        <f t="shared" si="14"/>
        <v>1.01</v>
      </c>
      <c r="Z83" s="5">
        <f t="shared" si="14"/>
        <v>1.05</v>
      </c>
      <c r="AA83" s="5">
        <f t="shared" si="14"/>
        <v>1.01</v>
      </c>
      <c r="AB83" s="5">
        <f t="shared" si="14"/>
        <v>0.99</v>
      </c>
      <c r="AC83" s="5">
        <f t="shared" si="14"/>
        <v>0.84</v>
      </c>
      <c r="AD83" s="5">
        <f t="shared" si="14"/>
        <v>0.82</v>
      </c>
      <c r="AE83" s="5">
        <f t="shared" si="14"/>
        <v>0.79</v>
      </c>
      <c r="AF83" s="5">
        <f t="shared" si="14"/>
        <v>0.74</v>
      </c>
      <c r="AG83" s="5">
        <f t="shared" si="14"/>
        <v>0.72</v>
      </c>
      <c r="AH83" s="5">
        <f t="shared" si="8"/>
        <v>0.7</v>
      </c>
      <c r="AI83" s="5">
        <f t="shared" si="8"/>
        <v>0.68</v>
      </c>
      <c r="AJ83" s="5">
        <f t="shared" si="8"/>
        <v>0.66</v>
      </c>
    </row>
    <row r="84" spans="1:36">
      <c r="A84" t="str">
        <f>"electricity_archetype_"&amp;TEXT(ROUND(Table2[[#This Row],[2016]],1),"0.0")</f>
        <v>electricity_archetype_12.3</v>
      </c>
      <c r="B84" s="5">
        <f t="shared" si="13"/>
        <v>12.3</v>
      </c>
      <c r="C84" s="5">
        <f t="shared" si="15"/>
        <v>12.3</v>
      </c>
      <c r="D84" s="5">
        <f t="shared" si="15"/>
        <v>12.3</v>
      </c>
      <c r="E84" s="5">
        <f t="shared" si="15"/>
        <v>11.97</v>
      </c>
      <c r="F84" s="5">
        <f t="shared" si="15"/>
        <v>11.16</v>
      </c>
      <c r="G84" s="5">
        <f t="shared" si="15"/>
        <v>11.4</v>
      </c>
      <c r="H84" s="5">
        <f t="shared" si="15"/>
        <v>10.98</v>
      </c>
      <c r="I84" s="5">
        <f t="shared" si="15"/>
        <v>10.32</v>
      </c>
      <c r="J84" s="5">
        <f t="shared" si="15"/>
        <v>9.98</v>
      </c>
      <c r="K84" s="5">
        <f t="shared" si="15"/>
        <v>9.61</v>
      </c>
      <c r="L84" s="5">
        <f t="shared" si="15"/>
        <v>9.35</v>
      </c>
      <c r="M84" s="5">
        <f t="shared" si="15"/>
        <v>9.32</v>
      </c>
      <c r="N84" s="5">
        <f t="shared" si="15"/>
        <v>8.85</v>
      </c>
      <c r="O84" s="5">
        <f t="shared" si="15"/>
        <v>8.37</v>
      </c>
      <c r="P84" s="5">
        <f t="shared" si="15"/>
        <v>7.96</v>
      </c>
      <c r="Q84" s="5">
        <f t="shared" si="15"/>
        <v>6.47</v>
      </c>
      <c r="R84" s="5">
        <f t="shared" si="15"/>
        <v>4.6</v>
      </c>
      <c r="S84" s="5">
        <f t="shared" si="14"/>
        <v>4.09</v>
      </c>
      <c r="T84" s="5">
        <f t="shared" si="14"/>
        <v>2.7</v>
      </c>
      <c r="U84" s="5">
        <f t="shared" si="14"/>
        <v>1.76</v>
      </c>
      <c r="V84" s="5">
        <f t="shared" si="14"/>
        <v>1.59</v>
      </c>
      <c r="W84" s="5">
        <f t="shared" si="14"/>
        <v>1.35</v>
      </c>
      <c r="X84" s="5">
        <f t="shared" si="14"/>
        <v>1.17</v>
      </c>
      <c r="Y84" s="5">
        <f t="shared" si="14"/>
        <v>1</v>
      </c>
      <c r="Z84" s="5">
        <f t="shared" si="14"/>
        <v>1.04</v>
      </c>
      <c r="AA84" s="5">
        <f t="shared" si="14"/>
        <v>1.01</v>
      </c>
      <c r="AB84" s="5">
        <f t="shared" si="14"/>
        <v>0.99</v>
      </c>
      <c r="AC84" s="5">
        <f t="shared" si="14"/>
        <v>0.84</v>
      </c>
      <c r="AD84" s="5">
        <f t="shared" si="14"/>
        <v>0.82</v>
      </c>
      <c r="AE84" s="5">
        <f t="shared" si="14"/>
        <v>0.79</v>
      </c>
      <c r="AF84" s="5">
        <f t="shared" si="14"/>
        <v>0.74</v>
      </c>
      <c r="AG84" s="5">
        <f t="shared" si="14"/>
        <v>0.72</v>
      </c>
      <c r="AH84" s="5">
        <f t="shared" si="8"/>
        <v>0.7</v>
      </c>
      <c r="AI84" s="5">
        <f t="shared" ref="AI84:AJ84" si="16">MROUND((($B84-$AJ$2)*((AI$2-$AJ$2)/($B$2-$AJ$2)))+$AJ$2,0.01)</f>
        <v>0.68</v>
      </c>
      <c r="AJ84" s="5">
        <f t="shared" si="16"/>
        <v>0.66</v>
      </c>
    </row>
    <row r="85" spans="1:36">
      <c r="A85" t="str">
        <f>"electricity_archetype_"&amp;TEXT(ROUND(Table2[[#This Row],[2016]],1),"0.0")</f>
        <v>electricity_archetype_12.2</v>
      </c>
      <c r="B85" s="5">
        <f t="shared" si="13"/>
        <v>12.2</v>
      </c>
      <c r="C85" s="5">
        <f t="shared" si="15"/>
        <v>12.2</v>
      </c>
      <c r="D85" s="5">
        <f t="shared" si="15"/>
        <v>12.2</v>
      </c>
      <c r="E85" s="5">
        <f t="shared" si="15"/>
        <v>11.87</v>
      </c>
      <c r="F85" s="5">
        <f t="shared" si="15"/>
        <v>11.07</v>
      </c>
      <c r="G85" s="5">
        <f t="shared" si="15"/>
        <v>11.3</v>
      </c>
      <c r="H85" s="5">
        <f t="shared" si="15"/>
        <v>10.9</v>
      </c>
      <c r="I85" s="5">
        <f t="shared" si="15"/>
        <v>10.24</v>
      </c>
      <c r="J85" s="5">
        <f t="shared" si="15"/>
        <v>9.9</v>
      </c>
      <c r="K85" s="5">
        <f t="shared" si="15"/>
        <v>9.53</v>
      </c>
      <c r="L85" s="5">
        <f t="shared" si="15"/>
        <v>9.27</v>
      </c>
      <c r="M85" s="5">
        <f t="shared" si="15"/>
        <v>9.24</v>
      </c>
      <c r="N85" s="5">
        <f t="shared" si="15"/>
        <v>8.78</v>
      </c>
      <c r="O85" s="5">
        <f t="shared" si="15"/>
        <v>8.3</v>
      </c>
      <c r="P85" s="5">
        <f t="shared" si="15"/>
        <v>7.9</v>
      </c>
      <c r="Q85" s="5">
        <f t="shared" si="15"/>
        <v>6.42</v>
      </c>
      <c r="R85" s="5">
        <f t="shared" si="15"/>
        <v>4.57</v>
      </c>
      <c r="S85" s="5">
        <f t="shared" si="14"/>
        <v>4.06</v>
      </c>
      <c r="T85" s="5">
        <f t="shared" si="14"/>
        <v>2.69</v>
      </c>
      <c r="U85" s="5">
        <f t="shared" si="14"/>
        <v>1.75</v>
      </c>
      <c r="V85" s="5">
        <f t="shared" si="14"/>
        <v>1.58</v>
      </c>
      <c r="W85" s="5">
        <f t="shared" si="14"/>
        <v>1.35</v>
      </c>
      <c r="X85" s="5">
        <f t="shared" si="14"/>
        <v>1.17</v>
      </c>
      <c r="Y85" s="5">
        <f t="shared" si="14"/>
        <v>1</v>
      </c>
      <c r="Z85" s="5">
        <f t="shared" si="14"/>
        <v>1.04</v>
      </c>
      <c r="AA85" s="5">
        <f t="shared" si="14"/>
        <v>1.01</v>
      </c>
      <c r="AB85" s="5">
        <f t="shared" si="14"/>
        <v>0.99</v>
      </c>
      <c r="AC85" s="5">
        <f t="shared" si="14"/>
        <v>0.84</v>
      </c>
      <c r="AD85" s="5">
        <f t="shared" si="14"/>
        <v>0.82</v>
      </c>
      <c r="AE85" s="5">
        <f t="shared" si="14"/>
        <v>0.79</v>
      </c>
      <c r="AF85" s="5">
        <f t="shared" si="14"/>
        <v>0.74</v>
      </c>
      <c r="AG85" s="5">
        <f t="shared" si="14"/>
        <v>0.72</v>
      </c>
      <c r="AH85" s="5">
        <f t="shared" ref="AH85:AJ148" si="17">MROUND((($B85-$AJ$2)*((AH$2-$AJ$2)/($B$2-$AJ$2)))+$AJ$2,0.01)</f>
        <v>0.7</v>
      </c>
      <c r="AI85" s="5">
        <f t="shared" si="17"/>
        <v>0.68</v>
      </c>
      <c r="AJ85" s="5">
        <f t="shared" si="17"/>
        <v>0.66</v>
      </c>
    </row>
    <row r="86" spans="1:36">
      <c r="A86" t="str">
        <f>"electricity_archetype_"&amp;TEXT(ROUND(Table2[[#This Row],[2016]],1),"0.0")</f>
        <v>electricity_archetype_12.1</v>
      </c>
      <c r="B86" s="5">
        <f t="shared" si="13"/>
        <v>12.1</v>
      </c>
      <c r="C86" s="5">
        <f t="shared" si="15"/>
        <v>12.1</v>
      </c>
      <c r="D86" s="5">
        <f t="shared" si="15"/>
        <v>12.1</v>
      </c>
      <c r="E86" s="5">
        <f t="shared" si="15"/>
        <v>11.77</v>
      </c>
      <c r="F86" s="5">
        <f t="shared" si="15"/>
        <v>10.98</v>
      </c>
      <c r="G86" s="5">
        <f t="shared" si="15"/>
        <v>11.21</v>
      </c>
      <c r="H86" s="5">
        <f t="shared" si="15"/>
        <v>10.81</v>
      </c>
      <c r="I86" s="5">
        <f t="shared" si="15"/>
        <v>10.16</v>
      </c>
      <c r="J86" s="5">
        <f t="shared" si="15"/>
        <v>9.82</v>
      </c>
      <c r="K86" s="5">
        <f t="shared" si="15"/>
        <v>9.45</v>
      </c>
      <c r="L86" s="5">
        <f t="shared" si="15"/>
        <v>9.2</v>
      </c>
      <c r="M86" s="5">
        <f t="shared" si="15"/>
        <v>9.17</v>
      </c>
      <c r="N86" s="5">
        <f t="shared" si="15"/>
        <v>8.7</v>
      </c>
      <c r="O86" s="5">
        <f t="shared" si="15"/>
        <v>8.24</v>
      </c>
      <c r="P86" s="5">
        <f t="shared" si="15"/>
        <v>7.84</v>
      </c>
      <c r="Q86" s="5">
        <f t="shared" si="15"/>
        <v>6.37</v>
      </c>
      <c r="R86" s="5">
        <f t="shared" si="15"/>
        <v>4.54</v>
      </c>
      <c r="S86" s="5">
        <f t="shared" si="14"/>
        <v>4.03</v>
      </c>
      <c r="T86" s="5">
        <f t="shared" si="14"/>
        <v>2.67</v>
      </c>
      <c r="U86" s="5">
        <f t="shared" si="14"/>
        <v>1.74</v>
      </c>
      <c r="V86" s="5">
        <f t="shared" si="14"/>
        <v>1.58</v>
      </c>
      <c r="W86" s="5">
        <f t="shared" si="14"/>
        <v>1.34</v>
      </c>
      <c r="X86" s="5">
        <f t="shared" si="14"/>
        <v>1.17</v>
      </c>
      <c r="Y86" s="5">
        <f t="shared" si="14"/>
        <v>1</v>
      </c>
      <c r="Z86" s="5">
        <f t="shared" si="14"/>
        <v>1.04</v>
      </c>
      <c r="AA86" s="5">
        <f t="shared" si="14"/>
        <v>1</v>
      </c>
      <c r="AB86" s="5">
        <f t="shared" si="14"/>
        <v>0.98</v>
      </c>
      <c r="AC86" s="5">
        <f t="shared" si="14"/>
        <v>0.84</v>
      </c>
      <c r="AD86" s="5">
        <f t="shared" si="14"/>
        <v>0.81</v>
      </c>
      <c r="AE86" s="5">
        <f t="shared" si="14"/>
        <v>0.79</v>
      </c>
      <c r="AF86" s="5">
        <f t="shared" si="14"/>
        <v>0.74</v>
      </c>
      <c r="AG86" s="5">
        <f t="shared" si="14"/>
        <v>0.72</v>
      </c>
      <c r="AH86" s="5">
        <f t="shared" si="17"/>
        <v>0.7</v>
      </c>
      <c r="AI86" s="5">
        <f t="shared" si="17"/>
        <v>0.68</v>
      </c>
      <c r="AJ86" s="5">
        <f t="shared" si="17"/>
        <v>0.66</v>
      </c>
    </row>
    <row r="87" spans="1:36">
      <c r="A87" t="str">
        <f>"electricity_archetype_"&amp;TEXT(ROUND(Table2[[#This Row],[2016]],1),"0.0")</f>
        <v>electricity_archetype_12.0</v>
      </c>
      <c r="B87" s="5">
        <f t="shared" si="13"/>
        <v>12</v>
      </c>
      <c r="C87" s="5">
        <f t="shared" si="15"/>
        <v>12</v>
      </c>
      <c r="D87" s="5">
        <f t="shared" si="15"/>
        <v>12</v>
      </c>
      <c r="E87" s="5">
        <f t="shared" si="15"/>
        <v>11.68</v>
      </c>
      <c r="F87" s="5">
        <f t="shared" si="15"/>
        <v>10.89</v>
      </c>
      <c r="G87" s="5">
        <f t="shared" si="15"/>
        <v>11.12</v>
      </c>
      <c r="H87" s="5">
        <f t="shared" si="15"/>
        <v>10.72</v>
      </c>
      <c r="I87" s="5">
        <f t="shared" si="15"/>
        <v>10.07</v>
      </c>
      <c r="J87" s="5">
        <f t="shared" si="15"/>
        <v>9.74</v>
      </c>
      <c r="K87" s="5">
        <f t="shared" si="15"/>
        <v>9.38</v>
      </c>
      <c r="L87" s="5">
        <f t="shared" si="15"/>
        <v>9.12</v>
      </c>
      <c r="M87" s="5">
        <f t="shared" si="15"/>
        <v>9.09</v>
      </c>
      <c r="N87" s="5">
        <f t="shared" si="15"/>
        <v>8.63</v>
      </c>
      <c r="O87" s="5">
        <f t="shared" si="15"/>
        <v>8.17</v>
      </c>
      <c r="P87" s="5">
        <f t="shared" si="15"/>
        <v>7.77</v>
      </c>
      <c r="Q87" s="5">
        <f t="shared" si="15"/>
        <v>6.32</v>
      </c>
      <c r="R87" s="5">
        <f t="shared" si="15"/>
        <v>4.5</v>
      </c>
      <c r="S87" s="5">
        <f t="shared" si="14"/>
        <v>4</v>
      </c>
      <c r="T87" s="5">
        <f t="shared" si="14"/>
        <v>2.65</v>
      </c>
      <c r="U87" s="5">
        <f t="shared" si="14"/>
        <v>1.73</v>
      </c>
      <c r="V87" s="5">
        <f t="shared" si="14"/>
        <v>1.57</v>
      </c>
      <c r="W87" s="5">
        <f t="shared" si="14"/>
        <v>1.34</v>
      </c>
      <c r="X87" s="5">
        <f t="shared" si="14"/>
        <v>1.16</v>
      </c>
      <c r="Y87" s="5">
        <f t="shared" si="14"/>
        <v>0.99</v>
      </c>
      <c r="Z87" s="5">
        <f t="shared" si="14"/>
        <v>1.03</v>
      </c>
      <c r="AA87" s="5">
        <f t="shared" si="14"/>
        <v>1</v>
      </c>
      <c r="AB87" s="5">
        <f t="shared" si="14"/>
        <v>0.98</v>
      </c>
      <c r="AC87" s="5">
        <f t="shared" si="14"/>
        <v>0.84</v>
      </c>
      <c r="AD87" s="5">
        <f t="shared" si="14"/>
        <v>0.81</v>
      </c>
      <c r="AE87" s="5">
        <f t="shared" si="14"/>
        <v>0.78</v>
      </c>
      <c r="AF87" s="5">
        <f t="shared" si="14"/>
        <v>0.74</v>
      </c>
      <c r="AG87" s="5">
        <f t="shared" si="14"/>
        <v>0.72</v>
      </c>
      <c r="AH87" s="5">
        <f t="shared" si="17"/>
        <v>0.7</v>
      </c>
      <c r="AI87" s="5">
        <f t="shared" si="17"/>
        <v>0.68</v>
      </c>
      <c r="AJ87" s="5">
        <f t="shared" si="17"/>
        <v>0.66</v>
      </c>
    </row>
    <row r="88" spans="1:36">
      <c r="A88" t="str">
        <f>"electricity_archetype_"&amp;TEXT(ROUND(Table2[[#This Row],[2016]],1),"0.0")</f>
        <v>electricity_archetype_11.9</v>
      </c>
      <c r="B88" s="5">
        <f t="shared" si="13"/>
        <v>11.9</v>
      </c>
      <c r="C88" s="5">
        <f t="shared" si="15"/>
        <v>11.9</v>
      </c>
      <c r="D88" s="5">
        <f t="shared" si="15"/>
        <v>11.9</v>
      </c>
      <c r="E88" s="5">
        <f t="shared" si="15"/>
        <v>11.58</v>
      </c>
      <c r="F88" s="5">
        <f t="shared" si="15"/>
        <v>10.8</v>
      </c>
      <c r="G88" s="5">
        <f t="shared" si="15"/>
        <v>11.03</v>
      </c>
      <c r="H88" s="5">
        <f t="shared" si="15"/>
        <v>10.63</v>
      </c>
      <c r="I88" s="5">
        <f t="shared" si="15"/>
        <v>9.99</v>
      </c>
      <c r="J88" s="5">
        <f t="shared" si="15"/>
        <v>9.66</v>
      </c>
      <c r="K88" s="5">
        <f t="shared" si="15"/>
        <v>9.3</v>
      </c>
      <c r="L88" s="5">
        <f t="shared" si="15"/>
        <v>9.05</v>
      </c>
      <c r="M88" s="5">
        <f t="shared" si="15"/>
        <v>9.02</v>
      </c>
      <c r="N88" s="5">
        <f t="shared" si="15"/>
        <v>8.56</v>
      </c>
      <c r="O88" s="5">
        <f t="shared" si="15"/>
        <v>8.11</v>
      </c>
      <c r="P88" s="5">
        <f t="shared" si="15"/>
        <v>7.71</v>
      </c>
      <c r="Q88" s="5">
        <f t="shared" si="15"/>
        <v>6.27</v>
      </c>
      <c r="R88" s="5">
        <f t="shared" si="15"/>
        <v>4.47</v>
      </c>
      <c r="S88" s="5">
        <f t="shared" si="14"/>
        <v>3.97</v>
      </c>
      <c r="T88" s="5">
        <f t="shared" si="14"/>
        <v>2.63</v>
      </c>
      <c r="U88" s="5">
        <f t="shared" si="14"/>
        <v>1.72</v>
      </c>
      <c r="V88" s="5">
        <f t="shared" si="14"/>
        <v>1.56</v>
      </c>
      <c r="W88" s="5">
        <f t="shared" si="14"/>
        <v>1.33</v>
      </c>
      <c r="X88" s="5">
        <f t="shared" si="14"/>
        <v>1.16</v>
      </c>
      <c r="Y88" s="5">
        <f t="shared" si="14"/>
        <v>0.99</v>
      </c>
      <c r="Z88" s="5">
        <f t="shared" si="14"/>
        <v>1.03</v>
      </c>
      <c r="AA88" s="5">
        <f t="shared" si="14"/>
        <v>1</v>
      </c>
      <c r="AB88" s="5">
        <f t="shared" si="14"/>
        <v>0.98</v>
      </c>
      <c r="AC88" s="5">
        <f t="shared" si="14"/>
        <v>0.84</v>
      </c>
      <c r="AD88" s="5">
        <f t="shared" si="14"/>
        <v>0.81</v>
      </c>
      <c r="AE88" s="5">
        <f t="shared" si="14"/>
        <v>0.78</v>
      </c>
      <c r="AF88" s="5">
        <f t="shared" si="14"/>
        <v>0.74</v>
      </c>
      <c r="AG88" s="5">
        <f t="shared" si="14"/>
        <v>0.72</v>
      </c>
      <c r="AH88" s="5">
        <f t="shared" si="17"/>
        <v>0.7</v>
      </c>
      <c r="AI88" s="5">
        <f t="shared" si="17"/>
        <v>0.68</v>
      </c>
      <c r="AJ88" s="5">
        <f t="shared" si="17"/>
        <v>0.66</v>
      </c>
    </row>
    <row r="89" spans="1:36">
      <c r="A89" t="str">
        <f>"electricity_archetype_"&amp;TEXT(ROUND(Table2[[#This Row],[2016]],1),"0.0")</f>
        <v>electricity_archetype_11.8</v>
      </c>
      <c r="B89" s="5">
        <f t="shared" si="13"/>
        <v>11.8</v>
      </c>
      <c r="C89" s="5">
        <f t="shared" si="15"/>
        <v>11.8</v>
      </c>
      <c r="D89" s="5">
        <f t="shared" si="15"/>
        <v>11.8</v>
      </c>
      <c r="E89" s="5">
        <f t="shared" si="15"/>
        <v>11.48</v>
      </c>
      <c r="F89" s="5">
        <f t="shared" si="15"/>
        <v>10.71</v>
      </c>
      <c r="G89" s="5">
        <f t="shared" si="15"/>
        <v>10.93</v>
      </c>
      <c r="H89" s="5">
        <f t="shared" si="15"/>
        <v>10.54</v>
      </c>
      <c r="I89" s="5">
        <f t="shared" si="15"/>
        <v>9.91</v>
      </c>
      <c r="J89" s="5">
        <f t="shared" si="15"/>
        <v>9.58</v>
      </c>
      <c r="K89" s="5">
        <f t="shared" si="15"/>
        <v>9.22</v>
      </c>
      <c r="L89" s="5">
        <f t="shared" si="15"/>
        <v>8.97</v>
      </c>
      <c r="M89" s="5">
        <f t="shared" si="15"/>
        <v>8.94</v>
      </c>
      <c r="N89" s="5">
        <f t="shared" si="15"/>
        <v>8.49</v>
      </c>
      <c r="O89" s="5">
        <f t="shared" si="15"/>
        <v>8.04</v>
      </c>
      <c r="P89" s="5">
        <f t="shared" si="15"/>
        <v>7.65</v>
      </c>
      <c r="Q89" s="5">
        <f t="shared" si="15"/>
        <v>6.22</v>
      </c>
      <c r="R89" s="5">
        <f t="shared" si="15"/>
        <v>4.43</v>
      </c>
      <c r="S89" s="5">
        <f t="shared" si="14"/>
        <v>3.95</v>
      </c>
      <c r="T89" s="5">
        <f t="shared" si="14"/>
        <v>2.62</v>
      </c>
      <c r="U89" s="5">
        <f t="shared" si="14"/>
        <v>1.71</v>
      </c>
      <c r="V89" s="5">
        <f t="shared" si="14"/>
        <v>1.55</v>
      </c>
      <c r="W89" s="5">
        <f t="shared" si="14"/>
        <v>1.32</v>
      </c>
      <c r="X89" s="5">
        <f t="shared" si="14"/>
        <v>1.15</v>
      </c>
      <c r="Y89" s="5">
        <f t="shared" si="14"/>
        <v>0.99</v>
      </c>
      <c r="Z89" s="5">
        <f t="shared" si="14"/>
        <v>1.03</v>
      </c>
      <c r="AA89" s="5">
        <f t="shared" si="14"/>
        <v>0.99</v>
      </c>
      <c r="AB89" s="5">
        <f t="shared" si="14"/>
        <v>0.97</v>
      </c>
      <c r="AC89" s="5">
        <f t="shared" si="14"/>
        <v>0.83</v>
      </c>
      <c r="AD89" s="5">
        <f t="shared" si="14"/>
        <v>0.81</v>
      </c>
      <c r="AE89" s="5">
        <f t="shared" si="14"/>
        <v>0.78</v>
      </c>
      <c r="AF89" s="5">
        <f t="shared" si="14"/>
        <v>0.74</v>
      </c>
      <c r="AG89" s="5">
        <f t="shared" si="14"/>
        <v>0.72</v>
      </c>
      <c r="AH89" s="5">
        <f t="shared" si="17"/>
        <v>0.7</v>
      </c>
      <c r="AI89" s="5">
        <f t="shared" si="17"/>
        <v>0.68</v>
      </c>
      <c r="AJ89" s="5">
        <f t="shared" si="17"/>
        <v>0.66</v>
      </c>
    </row>
    <row r="90" spans="1:36">
      <c r="A90" t="str">
        <f>"electricity_archetype_"&amp;TEXT(ROUND(Table2[[#This Row],[2016]],1),"0.0")</f>
        <v>electricity_archetype_11.7</v>
      </c>
      <c r="B90" s="5">
        <f t="shared" si="13"/>
        <v>11.7</v>
      </c>
      <c r="C90" s="5">
        <f t="shared" si="15"/>
        <v>11.7</v>
      </c>
      <c r="D90" s="5">
        <f t="shared" si="15"/>
        <v>11.7</v>
      </c>
      <c r="E90" s="5">
        <f t="shared" si="15"/>
        <v>11.38</v>
      </c>
      <c r="F90" s="5">
        <f t="shared" si="15"/>
        <v>10.62</v>
      </c>
      <c r="G90" s="5">
        <f t="shared" si="15"/>
        <v>10.84</v>
      </c>
      <c r="H90" s="5">
        <f t="shared" si="15"/>
        <v>10.45</v>
      </c>
      <c r="I90" s="5">
        <f t="shared" si="15"/>
        <v>9.83</v>
      </c>
      <c r="J90" s="5">
        <f t="shared" si="15"/>
        <v>9.5</v>
      </c>
      <c r="K90" s="5">
        <f t="shared" si="15"/>
        <v>9.14</v>
      </c>
      <c r="L90" s="5">
        <f t="shared" si="15"/>
        <v>8.9</v>
      </c>
      <c r="M90" s="5">
        <f t="shared" si="15"/>
        <v>8.87</v>
      </c>
      <c r="N90" s="5">
        <f t="shared" si="15"/>
        <v>8.42</v>
      </c>
      <c r="O90" s="5">
        <f t="shared" si="15"/>
        <v>7.97</v>
      </c>
      <c r="P90" s="5">
        <f t="shared" si="15"/>
        <v>7.59</v>
      </c>
      <c r="Q90" s="5">
        <f t="shared" si="15"/>
        <v>6.18</v>
      </c>
      <c r="R90" s="5">
        <f t="shared" si="15"/>
        <v>4.4</v>
      </c>
      <c r="S90" s="5">
        <f t="shared" si="14"/>
        <v>3.92</v>
      </c>
      <c r="T90" s="5">
        <f t="shared" si="14"/>
        <v>2.6</v>
      </c>
      <c r="U90" s="5">
        <f t="shared" si="14"/>
        <v>1.7</v>
      </c>
      <c r="V90" s="5">
        <f t="shared" si="14"/>
        <v>1.54</v>
      </c>
      <c r="W90" s="5">
        <f t="shared" si="14"/>
        <v>1.32</v>
      </c>
      <c r="X90" s="5">
        <f t="shared" si="14"/>
        <v>1.15</v>
      </c>
      <c r="Y90" s="5">
        <f t="shared" si="14"/>
        <v>0.99</v>
      </c>
      <c r="Z90" s="5">
        <f t="shared" si="14"/>
        <v>1.02</v>
      </c>
      <c r="AA90" s="5">
        <f t="shared" si="14"/>
        <v>0.99</v>
      </c>
      <c r="AB90" s="5">
        <f t="shared" si="14"/>
        <v>0.97</v>
      </c>
      <c r="AC90" s="5">
        <f t="shared" si="14"/>
        <v>0.83</v>
      </c>
      <c r="AD90" s="5">
        <f t="shared" si="14"/>
        <v>0.81</v>
      </c>
      <c r="AE90" s="5">
        <f t="shared" si="14"/>
        <v>0.78</v>
      </c>
      <c r="AF90" s="5">
        <f t="shared" si="14"/>
        <v>0.74</v>
      </c>
      <c r="AG90" s="5">
        <f t="shared" si="14"/>
        <v>0.72</v>
      </c>
      <c r="AH90" s="5">
        <f t="shared" si="17"/>
        <v>0.7</v>
      </c>
      <c r="AI90" s="5">
        <f t="shared" si="17"/>
        <v>0.68</v>
      </c>
      <c r="AJ90" s="5">
        <f t="shared" si="17"/>
        <v>0.66</v>
      </c>
    </row>
    <row r="91" spans="1:36">
      <c r="A91" t="str">
        <f>"electricity_archetype_"&amp;TEXT(ROUND(Table2[[#This Row],[2016]],1),"0.0")</f>
        <v>electricity_archetype_11.6</v>
      </c>
      <c r="B91" s="5">
        <f t="shared" si="13"/>
        <v>11.6</v>
      </c>
      <c r="C91" s="5">
        <f t="shared" si="15"/>
        <v>11.6</v>
      </c>
      <c r="D91" s="5">
        <f t="shared" si="15"/>
        <v>11.6</v>
      </c>
      <c r="E91" s="5">
        <f t="shared" si="15"/>
        <v>11.29</v>
      </c>
      <c r="F91" s="5">
        <f t="shared" si="15"/>
        <v>10.53</v>
      </c>
      <c r="G91" s="5">
        <f t="shared" si="15"/>
        <v>10.75</v>
      </c>
      <c r="H91" s="5">
        <f t="shared" si="15"/>
        <v>10.36</v>
      </c>
      <c r="I91" s="5">
        <f t="shared" si="15"/>
        <v>9.74</v>
      </c>
      <c r="J91" s="5">
        <f t="shared" si="15"/>
        <v>9.42</v>
      </c>
      <c r="K91" s="5">
        <f t="shared" si="15"/>
        <v>9.07</v>
      </c>
      <c r="L91" s="5">
        <f t="shared" si="15"/>
        <v>8.82</v>
      </c>
      <c r="M91" s="5">
        <f t="shared" si="15"/>
        <v>8.8</v>
      </c>
      <c r="N91" s="5">
        <f t="shared" si="15"/>
        <v>8.35</v>
      </c>
      <c r="O91" s="5">
        <f t="shared" si="15"/>
        <v>7.91</v>
      </c>
      <c r="P91" s="5">
        <f t="shared" si="15"/>
        <v>7.52</v>
      </c>
      <c r="Q91" s="5">
        <f t="shared" si="15"/>
        <v>6.13</v>
      </c>
      <c r="R91" s="5">
        <f t="shared" si="15"/>
        <v>4.37</v>
      </c>
      <c r="S91" s="5">
        <f t="shared" si="14"/>
        <v>3.89</v>
      </c>
      <c r="T91" s="5">
        <f t="shared" si="14"/>
        <v>2.58</v>
      </c>
      <c r="U91" s="5">
        <f t="shared" si="14"/>
        <v>1.69</v>
      </c>
      <c r="V91" s="5">
        <f t="shared" si="14"/>
        <v>1.54</v>
      </c>
      <c r="W91" s="5">
        <f t="shared" si="14"/>
        <v>1.31</v>
      </c>
      <c r="X91" s="5">
        <f t="shared" si="14"/>
        <v>1.14</v>
      </c>
      <c r="Y91" s="5">
        <f t="shared" si="14"/>
        <v>0.98</v>
      </c>
      <c r="Z91" s="5">
        <f t="shared" si="14"/>
        <v>1.02</v>
      </c>
      <c r="AA91" s="5">
        <f t="shared" si="14"/>
        <v>0.99</v>
      </c>
      <c r="AB91" s="5">
        <f t="shared" si="14"/>
        <v>0.97</v>
      </c>
      <c r="AC91" s="5">
        <f t="shared" si="14"/>
        <v>0.83</v>
      </c>
      <c r="AD91" s="5">
        <f t="shared" si="14"/>
        <v>0.81</v>
      </c>
      <c r="AE91" s="5">
        <f t="shared" si="14"/>
        <v>0.78</v>
      </c>
      <c r="AF91" s="5">
        <f t="shared" si="14"/>
        <v>0.74</v>
      </c>
      <c r="AG91" s="5">
        <f t="shared" si="14"/>
        <v>0.72</v>
      </c>
      <c r="AH91" s="5">
        <f t="shared" si="17"/>
        <v>0.7</v>
      </c>
      <c r="AI91" s="5">
        <f t="shared" si="17"/>
        <v>0.68</v>
      </c>
      <c r="AJ91" s="5">
        <f t="shared" si="17"/>
        <v>0.66</v>
      </c>
    </row>
    <row r="92" spans="1:36">
      <c r="A92" t="str">
        <f>"electricity_archetype_"&amp;TEXT(ROUND(Table2[[#This Row],[2016]],1),"0.0")</f>
        <v>electricity_archetype_11.5</v>
      </c>
      <c r="B92" s="5">
        <f t="shared" si="13"/>
        <v>11.5</v>
      </c>
      <c r="C92" s="5">
        <f t="shared" si="15"/>
        <v>11.5</v>
      </c>
      <c r="D92" s="5">
        <f t="shared" si="15"/>
        <v>11.5</v>
      </c>
      <c r="E92" s="5">
        <f t="shared" si="15"/>
        <v>11.19</v>
      </c>
      <c r="F92" s="5">
        <f t="shared" si="15"/>
        <v>10.44</v>
      </c>
      <c r="G92" s="5">
        <f t="shared" si="15"/>
        <v>10.66</v>
      </c>
      <c r="H92" s="5">
        <f t="shared" si="15"/>
        <v>10.27</v>
      </c>
      <c r="I92" s="5">
        <f t="shared" si="15"/>
        <v>9.66</v>
      </c>
      <c r="J92" s="5">
        <f t="shared" si="15"/>
        <v>9.34</v>
      </c>
      <c r="K92" s="5">
        <f t="shared" si="15"/>
        <v>8.99</v>
      </c>
      <c r="L92" s="5">
        <f t="shared" si="15"/>
        <v>8.75</v>
      </c>
      <c r="M92" s="5">
        <f t="shared" si="15"/>
        <v>8.72</v>
      </c>
      <c r="N92" s="5">
        <f t="shared" si="15"/>
        <v>8.28</v>
      </c>
      <c r="O92" s="5">
        <f t="shared" si="15"/>
        <v>7.84</v>
      </c>
      <c r="P92" s="5">
        <f t="shared" si="15"/>
        <v>7.46</v>
      </c>
      <c r="Q92" s="5">
        <f t="shared" si="15"/>
        <v>6.08</v>
      </c>
      <c r="R92" s="5">
        <f t="shared" si="15"/>
        <v>4.33</v>
      </c>
      <c r="S92" s="5">
        <f t="shared" si="14"/>
        <v>3.86</v>
      </c>
      <c r="T92" s="5">
        <f t="shared" si="14"/>
        <v>2.56</v>
      </c>
      <c r="U92" s="5">
        <f t="shared" si="14"/>
        <v>1.68</v>
      </c>
      <c r="V92" s="5">
        <f t="shared" si="14"/>
        <v>1.53</v>
      </c>
      <c r="W92" s="5">
        <f t="shared" si="14"/>
        <v>1.31</v>
      </c>
      <c r="X92" s="5">
        <f t="shared" si="14"/>
        <v>1.14</v>
      </c>
      <c r="Y92" s="5">
        <f t="shared" si="14"/>
        <v>0.98</v>
      </c>
      <c r="Z92" s="5">
        <f t="shared" si="14"/>
        <v>1.02</v>
      </c>
      <c r="AA92" s="5">
        <f t="shared" si="14"/>
        <v>0.99</v>
      </c>
      <c r="AB92" s="5">
        <f t="shared" si="14"/>
        <v>0.97</v>
      </c>
      <c r="AC92" s="5">
        <f t="shared" si="14"/>
        <v>0.83</v>
      </c>
      <c r="AD92" s="5">
        <f t="shared" si="14"/>
        <v>0.81</v>
      </c>
      <c r="AE92" s="5">
        <f t="shared" si="14"/>
        <v>0.78</v>
      </c>
      <c r="AF92" s="5">
        <f t="shared" si="14"/>
        <v>0.73</v>
      </c>
      <c r="AG92" s="5">
        <f t="shared" si="14"/>
        <v>0.72</v>
      </c>
      <c r="AH92" s="5">
        <f t="shared" si="17"/>
        <v>0.7</v>
      </c>
      <c r="AI92" s="5">
        <f t="shared" si="17"/>
        <v>0.68</v>
      </c>
      <c r="AJ92" s="5">
        <f t="shared" si="17"/>
        <v>0.66</v>
      </c>
    </row>
    <row r="93" spans="1:36">
      <c r="A93" t="str">
        <f>"electricity_archetype_"&amp;TEXT(ROUND(Table2[[#This Row],[2016]],1),"0.0")</f>
        <v>electricity_archetype_11.4</v>
      </c>
      <c r="B93" s="5">
        <f t="shared" si="13"/>
        <v>11.4</v>
      </c>
      <c r="C93" s="5">
        <f t="shared" si="15"/>
        <v>11.4</v>
      </c>
      <c r="D93" s="5">
        <f t="shared" si="15"/>
        <v>11.4</v>
      </c>
      <c r="E93" s="5">
        <f t="shared" si="15"/>
        <v>11.09</v>
      </c>
      <c r="F93" s="5">
        <f t="shared" si="15"/>
        <v>10.35</v>
      </c>
      <c r="G93" s="5">
        <f t="shared" si="15"/>
        <v>10.57</v>
      </c>
      <c r="H93" s="5">
        <f t="shared" si="15"/>
        <v>10.19</v>
      </c>
      <c r="I93" s="5">
        <f t="shared" si="15"/>
        <v>9.58</v>
      </c>
      <c r="J93" s="5">
        <f t="shared" si="15"/>
        <v>9.26</v>
      </c>
      <c r="K93" s="5">
        <f t="shared" si="15"/>
        <v>8.91</v>
      </c>
      <c r="L93" s="5">
        <f t="shared" si="15"/>
        <v>8.67</v>
      </c>
      <c r="M93" s="5">
        <f t="shared" si="15"/>
        <v>8.65</v>
      </c>
      <c r="N93" s="5">
        <f t="shared" si="15"/>
        <v>8.21</v>
      </c>
      <c r="O93" s="5">
        <f t="shared" si="15"/>
        <v>7.77</v>
      </c>
      <c r="P93" s="5">
        <f t="shared" si="15"/>
        <v>7.4</v>
      </c>
      <c r="Q93" s="5">
        <f t="shared" si="15"/>
        <v>6.03</v>
      </c>
      <c r="R93" s="5">
        <f t="shared" si="15"/>
        <v>4.3</v>
      </c>
      <c r="S93" s="5">
        <f t="shared" si="14"/>
        <v>3.83</v>
      </c>
      <c r="T93" s="5">
        <f t="shared" si="14"/>
        <v>2.55</v>
      </c>
      <c r="U93" s="5">
        <f t="shared" si="14"/>
        <v>1.67</v>
      </c>
      <c r="V93" s="5">
        <f t="shared" si="14"/>
        <v>1.52</v>
      </c>
      <c r="W93" s="5">
        <f t="shared" si="14"/>
        <v>1.3</v>
      </c>
      <c r="X93" s="5">
        <f t="shared" si="14"/>
        <v>1.13</v>
      </c>
      <c r="Y93" s="5">
        <f t="shared" si="14"/>
        <v>0.98</v>
      </c>
      <c r="Z93" s="5">
        <f t="shared" si="14"/>
        <v>1.01</v>
      </c>
      <c r="AA93" s="5">
        <f t="shared" si="14"/>
        <v>0.98</v>
      </c>
      <c r="AB93" s="5">
        <f t="shared" si="14"/>
        <v>0.96</v>
      </c>
      <c r="AC93" s="5">
        <f t="shared" si="14"/>
        <v>0.83</v>
      </c>
      <c r="AD93" s="5">
        <f t="shared" si="14"/>
        <v>0.8</v>
      </c>
      <c r="AE93" s="5">
        <f t="shared" si="14"/>
        <v>0.78</v>
      </c>
      <c r="AF93" s="5">
        <f t="shared" si="14"/>
        <v>0.73</v>
      </c>
      <c r="AG93" s="5">
        <f t="shared" si="14"/>
        <v>0.71</v>
      </c>
      <c r="AH93" s="5">
        <f t="shared" si="17"/>
        <v>0.7</v>
      </c>
      <c r="AI93" s="5">
        <f t="shared" si="17"/>
        <v>0.68</v>
      </c>
      <c r="AJ93" s="5">
        <f t="shared" si="17"/>
        <v>0.66</v>
      </c>
    </row>
    <row r="94" spans="1:36">
      <c r="A94" t="str">
        <f>"electricity_archetype_"&amp;TEXT(ROUND(Table2[[#This Row],[2016]],1),"0.0")</f>
        <v>electricity_archetype_11.3</v>
      </c>
      <c r="B94" s="5">
        <f t="shared" si="13"/>
        <v>11.3</v>
      </c>
      <c r="C94" s="5">
        <f t="shared" si="15"/>
        <v>11.3</v>
      </c>
      <c r="D94" s="5">
        <f t="shared" si="15"/>
        <v>11.3</v>
      </c>
      <c r="E94" s="5">
        <f t="shared" si="15"/>
        <v>11</v>
      </c>
      <c r="F94" s="5">
        <f t="shared" si="15"/>
        <v>10.26</v>
      </c>
      <c r="G94" s="5">
        <f t="shared" si="15"/>
        <v>10.47</v>
      </c>
      <c r="H94" s="5">
        <f t="shared" si="15"/>
        <v>10.1</v>
      </c>
      <c r="I94" s="5">
        <f t="shared" si="15"/>
        <v>9.49</v>
      </c>
      <c r="J94" s="5">
        <f t="shared" si="15"/>
        <v>9.18</v>
      </c>
      <c r="K94" s="5">
        <f t="shared" si="15"/>
        <v>8.84</v>
      </c>
      <c r="L94" s="5">
        <f t="shared" si="15"/>
        <v>8.6</v>
      </c>
      <c r="M94" s="5">
        <f t="shared" si="15"/>
        <v>8.57</v>
      </c>
      <c r="N94" s="5">
        <f t="shared" si="15"/>
        <v>8.14</v>
      </c>
      <c r="O94" s="5">
        <f t="shared" si="15"/>
        <v>7.71</v>
      </c>
      <c r="P94" s="5">
        <f t="shared" si="15"/>
        <v>7.34</v>
      </c>
      <c r="Q94" s="5">
        <f t="shared" si="15"/>
        <v>5.98</v>
      </c>
      <c r="R94" s="5">
        <f t="shared" ref="R94:AG109" si="18">MROUND((($B94-$AJ$2)*((R$2-$AJ$2)/($B$2-$AJ$2)))+$AJ$2,0.01)</f>
        <v>4.27</v>
      </c>
      <c r="S94" s="5">
        <f t="shared" si="18"/>
        <v>3.8</v>
      </c>
      <c r="T94" s="5">
        <f t="shared" si="18"/>
        <v>2.53</v>
      </c>
      <c r="U94" s="5">
        <f t="shared" si="18"/>
        <v>1.66</v>
      </c>
      <c r="V94" s="5">
        <f t="shared" si="18"/>
        <v>1.51</v>
      </c>
      <c r="W94" s="5">
        <f t="shared" si="18"/>
        <v>1.29</v>
      </c>
      <c r="X94" s="5">
        <f t="shared" si="18"/>
        <v>1.13</v>
      </c>
      <c r="Y94" s="5">
        <f t="shared" si="18"/>
        <v>0.97</v>
      </c>
      <c r="Z94" s="5">
        <f t="shared" si="18"/>
        <v>1.01</v>
      </c>
      <c r="AA94" s="5">
        <f t="shared" si="18"/>
        <v>0.98</v>
      </c>
      <c r="AB94" s="5">
        <f t="shared" si="18"/>
        <v>0.96</v>
      </c>
      <c r="AC94" s="5">
        <f t="shared" si="18"/>
        <v>0.83</v>
      </c>
      <c r="AD94" s="5">
        <f t="shared" si="18"/>
        <v>0.8</v>
      </c>
      <c r="AE94" s="5">
        <f t="shared" si="18"/>
        <v>0.78</v>
      </c>
      <c r="AF94" s="5">
        <f t="shared" si="18"/>
        <v>0.73</v>
      </c>
      <c r="AG94" s="5">
        <f t="shared" si="18"/>
        <v>0.71</v>
      </c>
      <c r="AH94" s="5">
        <f t="shared" si="17"/>
        <v>0.7</v>
      </c>
      <c r="AI94" s="5">
        <f t="shared" si="17"/>
        <v>0.68</v>
      </c>
      <c r="AJ94" s="5">
        <f t="shared" si="17"/>
        <v>0.66</v>
      </c>
    </row>
    <row r="95" spans="1:36">
      <c r="A95" t="str">
        <f>"electricity_archetype_"&amp;TEXT(ROUND(Table2[[#This Row],[2016]],1),"0.0")</f>
        <v>electricity_archetype_11.2</v>
      </c>
      <c r="B95" s="5">
        <f t="shared" si="13"/>
        <v>11.2</v>
      </c>
      <c r="C95" s="5">
        <f t="shared" ref="C95:R110" si="19">MROUND((($B95-$AJ$2)*((C$2-$AJ$2)/($B$2-$AJ$2)))+$AJ$2,0.01)</f>
        <v>11.2</v>
      </c>
      <c r="D95" s="5">
        <f t="shared" si="19"/>
        <v>11.2</v>
      </c>
      <c r="E95" s="5">
        <f t="shared" si="19"/>
        <v>10.9</v>
      </c>
      <c r="F95" s="5">
        <f t="shared" si="19"/>
        <v>10.17</v>
      </c>
      <c r="G95" s="5">
        <f t="shared" si="19"/>
        <v>10.38</v>
      </c>
      <c r="H95" s="5">
        <f t="shared" si="19"/>
        <v>10.01</v>
      </c>
      <c r="I95" s="5">
        <f t="shared" si="19"/>
        <v>9.41</v>
      </c>
      <c r="J95" s="5">
        <f t="shared" si="19"/>
        <v>9.1</v>
      </c>
      <c r="K95" s="5">
        <f t="shared" si="19"/>
        <v>8.76</v>
      </c>
      <c r="L95" s="5">
        <f t="shared" si="19"/>
        <v>8.52</v>
      </c>
      <c r="M95" s="5">
        <f t="shared" si="19"/>
        <v>8.5</v>
      </c>
      <c r="N95" s="5">
        <f t="shared" si="19"/>
        <v>8.07</v>
      </c>
      <c r="O95" s="5">
        <f t="shared" si="19"/>
        <v>7.64</v>
      </c>
      <c r="P95" s="5">
        <f t="shared" si="19"/>
        <v>7.27</v>
      </c>
      <c r="Q95" s="5">
        <f t="shared" si="19"/>
        <v>5.93</v>
      </c>
      <c r="R95" s="5">
        <f t="shared" si="19"/>
        <v>4.23</v>
      </c>
      <c r="S95" s="5">
        <f t="shared" si="18"/>
        <v>3.77</v>
      </c>
      <c r="T95" s="5">
        <f t="shared" si="18"/>
        <v>2.51</v>
      </c>
      <c r="U95" s="5">
        <f t="shared" si="18"/>
        <v>1.65</v>
      </c>
      <c r="V95" s="5">
        <f t="shared" si="18"/>
        <v>1.5</v>
      </c>
      <c r="W95" s="5">
        <f t="shared" si="18"/>
        <v>1.29</v>
      </c>
      <c r="X95" s="5">
        <f t="shared" si="18"/>
        <v>1.13</v>
      </c>
      <c r="Y95" s="5">
        <f t="shared" si="18"/>
        <v>0.97</v>
      </c>
      <c r="Z95" s="5">
        <f t="shared" si="18"/>
        <v>1.01</v>
      </c>
      <c r="AA95" s="5">
        <f t="shared" si="18"/>
        <v>0.98</v>
      </c>
      <c r="AB95" s="5">
        <f t="shared" si="18"/>
        <v>0.96</v>
      </c>
      <c r="AC95" s="5">
        <f t="shared" si="18"/>
        <v>0.82</v>
      </c>
      <c r="AD95" s="5">
        <f t="shared" si="18"/>
        <v>0.8</v>
      </c>
      <c r="AE95" s="5">
        <f t="shared" si="18"/>
        <v>0.78</v>
      </c>
      <c r="AF95" s="5">
        <f t="shared" si="18"/>
        <v>0.73</v>
      </c>
      <c r="AG95" s="5">
        <f t="shared" si="18"/>
        <v>0.71</v>
      </c>
      <c r="AH95" s="5">
        <f t="shared" si="17"/>
        <v>0.69</v>
      </c>
      <c r="AI95" s="5">
        <f t="shared" si="17"/>
        <v>0.68</v>
      </c>
      <c r="AJ95" s="5">
        <f t="shared" si="17"/>
        <v>0.66</v>
      </c>
    </row>
    <row r="96" spans="1:36">
      <c r="A96" t="str">
        <f>"electricity_archetype_"&amp;TEXT(ROUND(Table2[[#This Row],[2016]],1),"0.0")</f>
        <v>electricity_archetype_11.1</v>
      </c>
      <c r="B96" s="5">
        <f t="shared" si="13"/>
        <v>11.1</v>
      </c>
      <c r="C96" s="5">
        <f t="shared" si="19"/>
        <v>11.1</v>
      </c>
      <c r="D96" s="5">
        <f t="shared" si="19"/>
        <v>11.1</v>
      </c>
      <c r="E96" s="5">
        <f t="shared" si="19"/>
        <v>10.8</v>
      </c>
      <c r="F96" s="5">
        <f t="shared" si="19"/>
        <v>10.08</v>
      </c>
      <c r="G96" s="5">
        <f t="shared" si="19"/>
        <v>10.29</v>
      </c>
      <c r="H96" s="5">
        <f t="shared" si="19"/>
        <v>9.92</v>
      </c>
      <c r="I96" s="5">
        <f t="shared" si="19"/>
        <v>9.33</v>
      </c>
      <c r="J96" s="5">
        <f t="shared" si="19"/>
        <v>9.02</v>
      </c>
      <c r="K96" s="5">
        <f t="shared" si="19"/>
        <v>8.68</v>
      </c>
      <c r="L96" s="5">
        <f t="shared" si="19"/>
        <v>8.45</v>
      </c>
      <c r="M96" s="5">
        <f t="shared" si="19"/>
        <v>8.42</v>
      </c>
      <c r="N96" s="5">
        <f t="shared" si="19"/>
        <v>8</v>
      </c>
      <c r="O96" s="5">
        <f t="shared" si="19"/>
        <v>7.58</v>
      </c>
      <c r="P96" s="5">
        <f t="shared" si="19"/>
        <v>7.21</v>
      </c>
      <c r="Q96" s="5">
        <f t="shared" si="19"/>
        <v>5.88</v>
      </c>
      <c r="R96" s="5">
        <f t="shared" si="19"/>
        <v>4.2</v>
      </c>
      <c r="S96" s="5">
        <f t="shared" si="18"/>
        <v>3.74</v>
      </c>
      <c r="T96" s="5">
        <f t="shared" si="18"/>
        <v>2.49</v>
      </c>
      <c r="U96" s="5">
        <f t="shared" si="18"/>
        <v>1.64</v>
      </c>
      <c r="V96" s="5">
        <f t="shared" si="18"/>
        <v>1.5</v>
      </c>
      <c r="W96" s="5">
        <f t="shared" si="18"/>
        <v>1.28</v>
      </c>
      <c r="X96" s="5">
        <f t="shared" si="18"/>
        <v>1.12</v>
      </c>
      <c r="Y96" s="5">
        <f t="shared" si="18"/>
        <v>0.97</v>
      </c>
      <c r="Z96" s="5">
        <f t="shared" si="18"/>
        <v>1</v>
      </c>
      <c r="AA96" s="5">
        <f t="shared" si="18"/>
        <v>0.97</v>
      </c>
      <c r="AB96" s="5">
        <f t="shared" si="18"/>
        <v>0.95</v>
      </c>
      <c r="AC96" s="5">
        <f t="shared" si="18"/>
        <v>0.82</v>
      </c>
      <c r="AD96" s="5">
        <f t="shared" si="18"/>
        <v>0.8</v>
      </c>
      <c r="AE96" s="5">
        <f t="shared" si="18"/>
        <v>0.77</v>
      </c>
      <c r="AF96" s="5">
        <f t="shared" si="18"/>
        <v>0.73</v>
      </c>
      <c r="AG96" s="5">
        <f t="shared" si="18"/>
        <v>0.71</v>
      </c>
      <c r="AH96" s="5">
        <f t="shared" si="17"/>
        <v>0.69</v>
      </c>
      <c r="AI96" s="5">
        <f t="shared" si="17"/>
        <v>0.68</v>
      </c>
      <c r="AJ96" s="5">
        <f t="shared" si="17"/>
        <v>0.66</v>
      </c>
    </row>
    <row r="97" spans="1:36">
      <c r="A97" t="str">
        <f>"electricity_archetype_"&amp;TEXT(ROUND(Table2[[#This Row],[2016]],1),"0.0")</f>
        <v>electricity_archetype_11.0</v>
      </c>
      <c r="B97" s="5">
        <f t="shared" si="13"/>
        <v>11</v>
      </c>
      <c r="C97" s="5">
        <f t="shared" si="19"/>
        <v>11</v>
      </c>
      <c r="D97" s="5">
        <f t="shared" si="19"/>
        <v>11</v>
      </c>
      <c r="E97" s="5">
        <f t="shared" si="19"/>
        <v>10.7</v>
      </c>
      <c r="F97" s="5">
        <f t="shared" si="19"/>
        <v>9.99</v>
      </c>
      <c r="G97" s="5">
        <f t="shared" si="19"/>
        <v>10.2</v>
      </c>
      <c r="H97" s="5">
        <f t="shared" si="19"/>
        <v>9.83</v>
      </c>
      <c r="I97" s="5">
        <f t="shared" si="19"/>
        <v>9.24</v>
      </c>
      <c r="J97" s="5">
        <f t="shared" si="19"/>
        <v>8.94</v>
      </c>
      <c r="K97" s="5">
        <f t="shared" si="19"/>
        <v>8.61</v>
      </c>
      <c r="L97" s="5">
        <f t="shared" si="19"/>
        <v>8.38</v>
      </c>
      <c r="M97" s="5">
        <f t="shared" si="19"/>
        <v>8.35</v>
      </c>
      <c r="N97" s="5">
        <f t="shared" si="19"/>
        <v>7.93</v>
      </c>
      <c r="O97" s="5">
        <f t="shared" si="19"/>
        <v>7.51</v>
      </c>
      <c r="P97" s="5">
        <f t="shared" si="19"/>
        <v>7.15</v>
      </c>
      <c r="Q97" s="5">
        <f t="shared" si="19"/>
        <v>5.83</v>
      </c>
      <c r="R97" s="5">
        <f t="shared" si="19"/>
        <v>4.16</v>
      </c>
      <c r="S97" s="5">
        <f t="shared" si="18"/>
        <v>3.71</v>
      </c>
      <c r="T97" s="5">
        <f t="shared" si="18"/>
        <v>2.47</v>
      </c>
      <c r="U97" s="5">
        <f t="shared" si="18"/>
        <v>1.63</v>
      </c>
      <c r="V97" s="5">
        <f t="shared" si="18"/>
        <v>1.49</v>
      </c>
      <c r="W97" s="5">
        <f t="shared" si="18"/>
        <v>1.28</v>
      </c>
      <c r="X97" s="5">
        <f t="shared" si="18"/>
        <v>1.12</v>
      </c>
      <c r="Y97" s="5">
        <f t="shared" si="18"/>
        <v>0.96</v>
      </c>
      <c r="Z97" s="5">
        <f t="shared" si="18"/>
        <v>1</v>
      </c>
      <c r="AA97" s="5">
        <f t="shared" si="18"/>
        <v>0.97</v>
      </c>
      <c r="AB97" s="5">
        <f t="shared" si="18"/>
        <v>0.95</v>
      </c>
      <c r="AC97" s="5">
        <f t="shared" si="18"/>
        <v>0.82</v>
      </c>
      <c r="AD97" s="5">
        <f t="shared" si="18"/>
        <v>0.8</v>
      </c>
      <c r="AE97" s="5">
        <f t="shared" si="18"/>
        <v>0.77</v>
      </c>
      <c r="AF97" s="5">
        <f t="shared" si="18"/>
        <v>0.73</v>
      </c>
      <c r="AG97" s="5">
        <f t="shared" si="18"/>
        <v>0.71</v>
      </c>
      <c r="AH97" s="5">
        <f t="shared" si="17"/>
        <v>0.69</v>
      </c>
      <c r="AI97" s="5">
        <f t="shared" si="17"/>
        <v>0.68</v>
      </c>
      <c r="AJ97" s="5">
        <f t="shared" si="17"/>
        <v>0.66</v>
      </c>
    </row>
    <row r="98" spans="1:36">
      <c r="A98" t="str">
        <f>"electricity_archetype_"&amp;TEXT(ROUND(Table2[[#This Row],[2016]],1),"0.0")</f>
        <v>electricity_archetype_10.9</v>
      </c>
      <c r="B98" s="5">
        <f t="shared" si="13"/>
        <v>10.9</v>
      </c>
      <c r="C98" s="5">
        <f t="shared" si="19"/>
        <v>10.9</v>
      </c>
      <c r="D98" s="5">
        <f t="shared" si="19"/>
        <v>10.9</v>
      </c>
      <c r="E98" s="5">
        <f t="shared" si="19"/>
        <v>10.61</v>
      </c>
      <c r="F98" s="5">
        <f t="shared" si="19"/>
        <v>9.9</v>
      </c>
      <c r="G98" s="5">
        <f t="shared" si="19"/>
        <v>10.1</v>
      </c>
      <c r="H98" s="5">
        <f t="shared" si="19"/>
        <v>9.74</v>
      </c>
      <c r="I98" s="5">
        <f t="shared" si="19"/>
        <v>9.16</v>
      </c>
      <c r="J98" s="5">
        <f t="shared" si="19"/>
        <v>8.86</v>
      </c>
      <c r="K98" s="5">
        <f t="shared" si="19"/>
        <v>8.53</v>
      </c>
      <c r="L98" s="5">
        <f t="shared" si="19"/>
        <v>8.3</v>
      </c>
      <c r="M98" s="5">
        <f t="shared" si="19"/>
        <v>8.28</v>
      </c>
      <c r="N98" s="5">
        <f t="shared" si="19"/>
        <v>7.86</v>
      </c>
      <c r="O98" s="5">
        <f t="shared" si="19"/>
        <v>7.44</v>
      </c>
      <c r="P98" s="5">
        <f t="shared" si="19"/>
        <v>7.08</v>
      </c>
      <c r="Q98" s="5">
        <f t="shared" si="19"/>
        <v>5.78</v>
      </c>
      <c r="R98" s="5">
        <f t="shared" si="19"/>
        <v>4.13</v>
      </c>
      <c r="S98" s="5">
        <f t="shared" si="18"/>
        <v>3.68</v>
      </c>
      <c r="T98" s="5">
        <f t="shared" si="18"/>
        <v>2.46</v>
      </c>
      <c r="U98" s="5">
        <f t="shared" si="18"/>
        <v>1.62</v>
      </c>
      <c r="V98" s="5">
        <f t="shared" si="18"/>
        <v>1.48</v>
      </c>
      <c r="W98" s="5">
        <f t="shared" si="18"/>
        <v>1.27</v>
      </c>
      <c r="X98" s="5">
        <f t="shared" si="18"/>
        <v>1.11</v>
      </c>
      <c r="Y98" s="5">
        <f t="shared" si="18"/>
        <v>0.96</v>
      </c>
      <c r="Z98" s="5">
        <f t="shared" si="18"/>
        <v>1</v>
      </c>
      <c r="AA98" s="5">
        <f t="shared" si="18"/>
        <v>0.97</v>
      </c>
      <c r="AB98" s="5">
        <f t="shared" si="18"/>
        <v>0.95</v>
      </c>
      <c r="AC98" s="5">
        <f t="shared" si="18"/>
        <v>0.82</v>
      </c>
      <c r="AD98" s="5">
        <f t="shared" si="18"/>
        <v>0.8</v>
      </c>
      <c r="AE98" s="5">
        <f t="shared" si="18"/>
        <v>0.77</v>
      </c>
      <c r="AF98" s="5">
        <f t="shared" si="18"/>
        <v>0.73</v>
      </c>
      <c r="AG98" s="5">
        <f t="shared" si="18"/>
        <v>0.71</v>
      </c>
      <c r="AH98" s="5">
        <f t="shared" si="17"/>
        <v>0.69</v>
      </c>
      <c r="AI98" s="5">
        <f t="shared" si="17"/>
        <v>0.68</v>
      </c>
      <c r="AJ98" s="5">
        <f t="shared" si="17"/>
        <v>0.66</v>
      </c>
    </row>
    <row r="99" spans="1:36">
      <c r="A99" t="str">
        <f>"electricity_archetype_"&amp;TEXT(ROUND(Table2[[#This Row],[2016]],1),"0.0")</f>
        <v>electricity_archetype_10.8</v>
      </c>
      <c r="B99" s="5">
        <f t="shared" si="13"/>
        <v>10.8</v>
      </c>
      <c r="C99" s="5">
        <f t="shared" si="19"/>
        <v>10.8</v>
      </c>
      <c r="D99" s="5">
        <f t="shared" si="19"/>
        <v>10.8</v>
      </c>
      <c r="E99" s="5">
        <f t="shared" si="19"/>
        <v>10.51</v>
      </c>
      <c r="F99" s="5">
        <f t="shared" si="19"/>
        <v>9.81</v>
      </c>
      <c r="G99" s="5">
        <f t="shared" si="19"/>
        <v>10.01</v>
      </c>
      <c r="H99" s="5">
        <f t="shared" si="19"/>
        <v>9.65</v>
      </c>
      <c r="I99" s="5">
        <f t="shared" si="19"/>
        <v>9.08</v>
      </c>
      <c r="J99" s="5">
        <f t="shared" si="19"/>
        <v>8.78</v>
      </c>
      <c r="K99" s="5">
        <f t="shared" si="19"/>
        <v>8.45</v>
      </c>
      <c r="L99" s="5">
        <f t="shared" si="19"/>
        <v>8.23</v>
      </c>
      <c r="M99" s="5">
        <f t="shared" si="19"/>
        <v>8.2</v>
      </c>
      <c r="N99" s="5">
        <f t="shared" si="19"/>
        <v>7.79</v>
      </c>
      <c r="O99" s="5">
        <f t="shared" si="19"/>
        <v>7.38</v>
      </c>
      <c r="P99" s="5">
        <f t="shared" si="19"/>
        <v>7.02</v>
      </c>
      <c r="Q99" s="5">
        <f t="shared" si="19"/>
        <v>5.73</v>
      </c>
      <c r="R99" s="5">
        <f t="shared" si="19"/>
        <v>4.1</v>
      </c>
      <c r="S99" s="5">
        <f t="shared" si="18"/>
        <v>3.65</v>
      </c>
      <c r="T99" s="5">
        <f t="shared" si="18"/>
        <v>2.44</v>
      </c>
      <c r="U99" s="5">
        <f t="shared" si="18"/>
        <v>1.61</v>
      </c>
      <c r="V99" s="5">
        <f t="shared" si="18"/>
        <v>1.47</v>
      </c>
      <c r="W99" s="5">
        <f t="shared" si="18"/>
        <v>1.26</v>
      </c>
      <c r="X99" s="5">
        <f t="shared" si="18"/>
        <v>1.11</v>
      </c>
      <c r="Y99" s="5">
        <f t="shared" si="18"/>
        <v>0.96</v>
      </c>
      <c r="Z99" s="5">
        <f t="shared" si="18"/>
        <v>0.99</v>
      </c>
      <c r="AA99" s="5">
        <f t="shared" si="18"/>
        <v>0.96</v>
      </c>
      <c r="AB99" s="5">
        <f t="shared" si="18"/>
        <v>0.95</v>
      </c>
      <c r="AC99" s="5">
        <f t="shared" si="18"/>
        <v>0.82</v>
      </c>
      <c r="AD99" s="5">
        <f t="shared" si="18"/>
        <v>0.8</v>
      </c>
      <c r="AE99" s="5">
        <f t="shared" si="18"/>
        <v>0.77</v>
      </c>
      <c r="AF99" s="5">
        <f t="shared" si="18"/>
        <v>0.73</v>
      </c>
      <c r="AG99" s="5">
        <f t="shared" si="18"/>
        <v>0.71</v>
      </c>
      <c r="AH99" s="5">
        <f t="shared" si="17"/>
        <v>0.69</v>
      </c>
      <c r="AI99" s="5">
        <f t="shared" si="17"/>
        <v>0.68</v>
      </c>
      <c r="AJ99" s="5">
        <f t="shared" si="17"/>
        <v>0.66</v>
      </c>
    </row>
    <row r="100" spans="1:36">
      <c r="A100" t="str">
        <f>"electricity_archetype_"&amp;TEXT(ROUND(Table2[[#This Row],[2016]],1),"0.0")</f>
        <v>electricity_archetype_10.7</v>
      </c>
      <c r="B100" s="5">
        <f t="shared" si="13"/>
        <v>10.7</v>
      </c>
      <c r="C100" s="5">
        <f t="shared" si="19"/>
        <v>10.7</v>
      </c>
      <c r="D100" s="5">
        <f t="shared" si="19"/>
        <v>10.7</v>
      </c>
      <c r="E100" s="5">
        <f t="shared" si="19"/>
        <v>10.41</v>
      </c>
      <c r="F100" s="5">
        <f t="shared" si="19"/>
        <v>9.72</v>
      </c>
      <c r="G100" s="5">
        <f t="shared" si="19"/>
        <v>9.92</v>
      </c>
      <c r="H100" s="5">
        <f t="shared" si="19"/>
        <v>9.56</v>
      </c>
      <c r="I100" s="5">
        <f t="shared" si="19"/>
        <v>9</v>
      </c>
      <c r="J100" s="5">
        <f t="shared" si="19"/>
        <v>8.7</v>
      </c>
      <c r="K100" s="5">
        <f t="shared" si="19"/>
        <v>8.38</v>
      </c>
      <c r="L100" s="5">
        <f t="shared" si="19"/>
        <v>8.15</v>
      </c>
      <c r="M100" s="5">
        <f t="shared" si="19"/>
        <v>8.13</v>
      </c>
      <c r="N100" s="5">
        <f t="shared" si="19"/>
        <v>7.72</v>
      </c>
      <c r="O100" s="5">
        <f t="shared" si="19"/>
        <v>7.31</v>
      </c>
      <c r="P100" s="5">
        <f t="shared" si="19"/>
        <v>6.96</v>
      </c>
      <c r="Q100" s="5">
        <f t="shared" si="19"/>
        <v>5.68</v>
      </c>
      <c r="R100" s="5">
        <f t="shared" si="19"/>
        <v>4.06</v>
      </c>
      <c r="S100" s="5">
        <f t="shared" si="18"/>
        <v>3.62</v>
      </c>
      <c r="T100" s="5">
        <f t="shared" si="18"/>
        <v>2.42</v>
      </c>
      <c r="U100" s="5">
        <f t="shared" si="18"/>
        <v>1.6</v>
      </c>
      <c r="V100" s="5">
        <f t="shared" si="18"/>
        <v>1.46</v>
      </c>
      <c r="W100" s="5">
        <f t="shared" si="18"/>
        <v>1.26</v>
      </c>
      <c r="X100" s="5">
        <f t="shared" si="18"/>
        <v>1.1</v>
      </c>
      <c r="Y100" s="5">
        <f t="shared" si="18"/>
        <v>0.96</v>
      </c>
      <c r="Z100" s="5">
        <f t="shared" si="18"/>
        <v>0.99</v>
      </c>
      <c r="AA100" s="5">
        <f t="shared" si="18"/>
        <v>0.96</v>
      </c>
      <c r="AB100" s="5">
        <f t="shared" si="18"/>
        <v>0.94</v>
      </c>
      <c r="AC100" s="5">
        <f t="shared" si="18"/>
        <v>0.82</v>
      </c>
      <c r="AD100" s="5">
        <f t="shared" si="18"/>
        <v>0.79</v>
      </c>
      <c r="AE100" s="5">
        <f t="shared" si="18"/>
        <v>0.77</v>
      </c>
      <c r="AF100" s="5">
        <f t="shared" si="18"/>
        <v>0.73</v>
      </c>
      <c r="AG100" s="5">
        <f t="shared" si="18"/>
        <v>0.71</v>
      </c>
      <c r="AH100" s="5">
        <f t="shared" si="17"/>
        <v>0.69</v>
      </c>
      <c r="AI100" s="5">
        <f t="shared" si="17"/>
        <v>0.68</v>
      </c>
      <c r="AJ100" s="5">
        <f t="shared" si="17"/>
        <v>0.66</v>
      </c>
    </row>
    <row r="101" spans="1:36">
      <c r="A101" t="str">
        <f>"electricity_archetype_"&amp;TEXT(ROUND(Table2[[#This Row],[2016]],1),"0.0")</f>
        <v>electricity_archetype_10.6</v>
      </c>
      <c r="B101" s="5">
        <f t="shared" si="13"/>
        <v>10.6</v>
      </c>
      <c r="C101" s="5">
        <f t="shared" si="19"/>
        <v>10.6</v>
      </c>
      <c r="D101" s="5">
        <f t="shared" si="19"/>
        <v>10.6</v>
      </c>
      <c r="E101" s="5">
        <f t="shared" si="19"/>
        <v>10.32</v>
      </c>
      <c r="F101" s="5">
        <f t="shared" si="19"/>
        <v>9.63</v>
      </c>
      <c r="G101" s="5">
        <f t="shared" si="19"/>
        <v>9.83</v>
      </c>
      <c r="H101" s="5">
        <f t="shared" si="19"/>
        <v>9.48</v>
      </c>
      <c r="I101" s="5">
        <f t="shared" si="19"/>
        <v>8.91</v>
      </c>
      <c r="J101" s="5">
        <f t="shared" si="19"/>
        <v>8.62</v>
      </c>
      <c r="K101" s="5">
        <f t="shared" si="19"/>
        <v>8.3</v>
      </c>
      <c r="L101" s="5">
        <f t="shared" si="19"/>
        <v>8.08</v>
      </c>
      <c r="M101" s="5">
        <f t="shared" si="19"/>
        <v>8.05</v>
      </c>
      <c r="N101" s="5">
        <f t="shared" si="19"/>
        <v>7.65</v>
      </c>
      <c r="O101" s="5">
        <f t="shared" si="19"/>
        <v>7.24</v>
      </c>
      <c r="P101" s="5">
        <f t="shared" si="19"/>
        <v>6.9</v>
      </c>
      <c r="Q101" s="5">
        <f t="shared" si="19"/>
        <v>5.63</v>
      </c>
      <c r="R101" s="5">
        <f t="shared" si="19"/>
        <v>4.03</v>
      </c>
      <c r="S101" s="5">
        <f t="shared" si="18"/>
        <v>3.59</v>
      </c>
      <c r="T101" s="5">
        <f t="shared" si="18"/>
        <v>2.4</v>
      </c>
      <c r="U101" s="5">
        <f t="shared" si="18"/>
        <v>1.6</v>
      </c>
      <c r="V101" s="5">
        <f t="shared" si="18"/>
        <v>1.46</v>
      </c>
      <c r="W101" s="5">
        <f t="shared" si="18"/>
        <v>1.25</v>
      </c>
      <c r="X101" s="5">
        <f t="shared" si="18"/>
        <v>1.1</v>
      </c>
      <c r="Y101" s="5">
        <f t="shared" si="18"/>
        <v>0.95</v>
      </c>
      <c r="Z101" s="5">
        <f t="shared" si="18"/>
        <v>0.99</v>
      </c>
      <c r="AA101" s="5">
        <f t="shared" si="18"/>
        <v>0.96</v>
      </c>
      <c r="AB101" s="5">
        <f t="shared" si="18"/>
        <v>0.94</v>
      </c>
      <c r="AC101" s="5">
        <f t="shared" si="18"/>
        <v>0.81</v>
      </c>
      <c r="AD101" s="5">
        <f t="shared" si="18"/>
        <v>0.79</v>
      </c>
      <c r="AE101" s="5">
        <f t="shared" si="18"/>
        <v>0.77</v>
      </c>
      <c r="AF101" s="5">
        <f t="shared" si="18"/>
        <v>0.73</v>
      </c>
      <c r="AG101" s="5">
        <f t="shared" si="18"/>
        <v>0.71</v>
      </c>
      <c r="AH101" s="5">
        <f t="shared" si="17"/>
        <v>0.69</v>
      </c>
      <c r="AI101" s="5">
        <f t="shared" si="17"/>
        <v>0.68</v>
      </c>
      <c r="AJ101" s="5">
        <f t="shared" si="17"/>
        <v>0.66</v>
      </c>
    </row>
    <row r="102" spans="1:36">
      <c r="A102" t="str">
        <f>"electricity_archetype_"&amp;TEXT(ROUND(Table2[[#This Row],[2016]],1),"0.0")</f>
        <v>electricity_archetype_10.5</v>
      </c>
      <c r="B102" s="5">
        <f t="shared" si="13"/>
        <v>10.5</v>
      </c>
      <c r="C102" s="5">
        <f t="shared" si="19"/>
        <v>10.5</v>
      </c>
      <c r="D102" s="5">
        <f t="shared" si="19"/>
        <v>10.5</v>
      </c>
      <c r="E102" s="5">
        <f t="shared" si="19"/>
        <v>10.22</v>
      </c>
      <c r="F102" s="5">
        <f t="shared" si="19"/>
        <v>9.54</v>
      </c>
      <c r="G102" s="5">
        <f t="shared" si="19"/>
        <v>9.74</v>
      </c>
      <c r="H102" s="5">
        <f t="shared" si="19"/>
        <v>9.39</v>
      </c>
      <c r="I102" s="5">
        <f t="shared" si="19"/>
        <v>8.83</v>
      </c>
      <c r="J102" s="5">
        <f t="shared" si="19"/>
        <v>8.54</v>
      </c>
      <c r="K102" s="5">
        <f t="shared" si="19"/>
        <v>8.22</v>
      </c>
      <c r="L102" s="5">
        <f t="shared" si="19"/>
        <v>8</v>
      </c>
      <c r="M102" s="5">
        <f t="shared" si="19"/>
        <v>7.98</v>
      </c>
      <c r="N102" s="5">
        <f t="shared" si="19"/>
        <v>7.58</v>
      </c>
      <c r="O102" s="5">
        <f t="shared" si="19"/>
        <v>7.18</v>
      </c>
      <c r="P102" s="5">
        <f t="shared" si="19"/>
        <v>6.83</v>
      </c>
      <c r="Q102" s="5">
        <f t="shared" si="19"/>
        <v>5.58</v>
      </c>
      <c r="R102" s="5">
        <f t="shared" si="19"/>
        <v>3.99</v>
      </c>
      <c r="S102" s="5">
        <f t="shared" si="18"/>
        <v>3.56</v>
      </c>
      <c r="T102" s="5">
        <f t="shared" si="18"/>
        <v>2.39</v>
      </c>
      <c r="U102" s="5">
        <f t="shared" si="18"/>
        <v>1.59</v>
      </c>
      <c r="V102" s="5">
        <f t="shared" si="18"/>
        <v>1.45</v>
      </c>
      <c r="W102" s="5">
        <f t="shared" si="18"/>
        <v>1.25</v>
      </c>
      <c r="X102" s="5">
        <f t="shared" si="18"/>
        <v>1.09</v>
      </c>
      <c r="Y102" s="5">
        <f t="shared" si="18"/>
        <v>0.95</v>
      </c>
      <c r="Z102" s="5">
        <f t="shared" si="18"/>
        <v>0.98</v>
      </c>
      <c r="AA102" s="5">
        <f t="shared" si="18"/>
        <v>0.96</v>
      </c>
      <c r="AB102" s="5">
        <f t="shared" si="18"/>
        <v>0.94</v>
      </c>
      <c r="AC102" s="5">
        <f t="shared" si="18"/>
        <v>0.81</v>
      </c>
      <c r="AD102" s="5">
        <f t="shared" si="18"/>
        <v>0.79</v>
      </c>
      <c r="AE102" s="5">
        <f t="shared" si="18"/>
        <v>0.77</v>
      </c>
      <c r="AF102" s="5">
        <f t="shared" si="18"/>
        <v>0.73</v>
      </c>
      <c r="AG102" s="5">
        <f t="shared" si="18"/>
        <v>0.71</v>
      </c>
      <c r="AH102" s="5">
        <f t="shared" si="17"/>
        <v>0.69</v>
      </c>
      <c r="AI102" s="5">
        <f t="shared" si="17"/>
        <v>0.67</v>
      </c>
      <c r="AJ102" s="5">
        <f t="shared" si="17"/>
        <v>0.66</v>
      </c>
    </row>
    <row r="103" spans="1:36">
      <c r="A103" t="str">
        <f>"electricity_archetype_"&amp;TEXT(ROUND(Table2[[#This Row],[2016]],1),"0.0")</f>
        <v>electricity_archetype_10.4</v>
      </c>
      <c r="B103" s="5">
        <f t="shared" si="13"/>
        <v>10.4</v>
      </c>
      <c r="C103" s="5">
        <f t="shared" si="19"/>
        <v>10.4</v>
      </c>
      <c r="D103" s="5">
        <f t="shared" si="19"/>
        <v>10.4</v>
      </c>
      <c r="E103" s="5">
        <f t="shared" si="19"/>
        <v>10.12</v>
      </c>
      <c r="F103" s="5">
        <f t="shared" si="19"/>
        <v>9.45</v>
      </c>
      <c r="G103" s="5">
        <f t="shared" si="19"/>
        <v>9.64</v>
      </c>
      <c r="H103" s="5">
        <f t="shared" si="19"/>
        <v>9.3</v>
      </c>
      <c r="I103" s="5">
        <f t="shared" si="19"/>
        <v>8.75</v>
      </c>
      <c r="J103" s="5">
        <f t="shared" si="19"/>
        <v>8.46</v>
      </c>
      <c r="K103" s="5">
        <f t="shared" si="19"/>
        <v>8.15</v>
      </c>
      <c r="L103" s="5">
        <f t="shared" si="19"/>
        <v>7.93</v>
      </c>
      <c r="M103" s="5">
        <f t="shared" si="19"/>
        <v>7.9</v>
      </c>
      <c r="N103" s="5">
        <f t="shared" si="19"/>
        <v>7.51</v>
      </c>
      <c r="O103" s="5">
        <f t="shared" si="19"/>
        <v>7.11</v>
      </c>
      <c r="P103" s="5">
        <f t="shared" si="19"/>
        <v>6.77</v>
      </c>
      <c r="Q103" s="5">
        <f t="shared" si="19"/>
        <v>5.53</v>
      </c>
      <c r="R103" s="5">
        <f t="shared" si="19"/>
        <v>3.96</v>
      </c>
      <c r="S103" s="5">
        <f t="shared" si="18"/>
        <v>3.53</v>
      </c>
      <c r="T103" s="5">
        <f t="shared" si="18"/>
        <v>2.37</v>
      </c>
      <c r="U103" s="5">
        <f t="shared" si="18"/>
        <v>1.58</v>
      </c>
      <c r="V103" s="5">
        <f t="shared" si="18"/>
        <v>1.44</v>
      </c>
      <c r="W103" s="5">
        <f t="shared" si="18"/>
        <v>1.24</v>
      </c>
      <c r="X103" s="5">
        <f t="shared" si="18"/>
        <v>1.09</v>
      </c>
      <c r="Y103" s="5">
        <f t="shared" si="18"/>
        <v>0.95</v>
      </c>
      <c r="Z103" s="5">
        <f t="shared" si="18"/>
        <v>0.98</v>
      </c>
      <c r="AA103" s="5">
        <f t="shared" si="18"/>
        <v>0.95</v>
      </c>
      <c r="AB103" s="5">
        <f t="shared" si="18"/>
        <v>0.93</v>
      </c>
      <c r="AC103" s="5">
        <f t="shared" si="18"/>
        <v>0.81</v>
      </c>
      <c r="AD103" s="5">
        <f t="shared" si="18"/>
        <v>0.79</v>
      </c>
      <c r="AE103" s="5">
        <f t="shared" si="18"/>
        <v>0.77</v>
      </c>
      <c r="AF103" s="5">
        <f t="shared" si="18"/>
        <v>0.73</v>
      </c>
      <c r="AG103" s="5">
        <f t="shared" si="18"/>
        <v>0.71</v>
      </c>
      <c r="AH103" s="5">
        <f t="shared" si="17"/>
        <v>0.69</v>
      </c>
      <c r="AI103" s="5">
        <f t="shared" si="17"/>
        <v>0.67</v>
      </c>
      <c r="AJ103" s="5">
        <f t="shared" si="17"/>
        <v>0.66</v>
      </c>
    </row>
    <row r="104" spans="1:36">
      <c r="A104" t="str">
        <f>"electricity_archetype_"&amp;TEXT(ROUND(Table2[[#This Row],[2016]],1),"0.0")</f>
        <v>electricity_archetype_10.3</v>
      </c>
      <c r="B104" s="5">
        <f t="shared" si="13"/>
        <v>10.3</v>
      </c>
      <c r="C104" s="5">
        <f t="shared" si="19"/>
        <v>10.3</v>
      </c>
      <c r="D104" s="5">
        <f t="shared" si="19"/>
        <v>10.3</v>
      </c>
      <c r="E104" s="5">
        <f t="shared" si="19"/>
        <v>10.02</v>
      </c>
      <c r="F104" s="5">
        <f t="shared" si="19"/>
        <v>9.36</v>
      </c>
      <c r="G104" s="5">
        <f t="shared" si="19"/>
        <v>9.55</v>
      </c>
      <c r="H104" s="5">
        <f t="shared" si="19"/>
        <v>9.21</v>
      </c>
      <c r="I104" s="5">
        <f t="shared" si="19"/>
        <v>8.66</v>
      </c>
      <c r="J104" s="5">
        <f t="shared" si="19"/>
        <v>8.38</v>
      </c>
      <c r="K104" s="5">
        <f t="shared" si="19"/>
        <v>8.07</v>
      </c>
      <c r="L104" s="5">
        <f t="shared" si="19"/>
        <v>7.85</v>
      </c>
      <c r="M104" s="5">
        <f t="shared" si="19"/>
        <v>7.83</v>
      </c>
      <c r="N104" s="5">
        <f t="shared" si="19"/>
        <v>7.44</v>
      </c>
      <c r="O104" s="5">
        <f t="shared" si="19"/>
        <v>7.05</v>
      </c>
      <c r="P104" s="5">
        <f t="shared" si="19"/>
        <v>6.71</v>
      </c>
      <c r="Q104" s="5">
        <f t="shared" si="19"/>
        <v>5.48</v>
      </c>
      <c r="R104" s="5">
        <f t="shared" si="19"/>
        <v>3.93</v>
      </c>
      <c r="S104" s="5">
        <f t="shared" si="18"/>
        <v>3.5</v>
      </c>
      <c r="T104" s="5">
        <f t="shared" si="18"/>
        <v>2.35</v>
      </c>
      <c r="U104" s="5">
        <f t="shared" si="18"/>
        <v>1.57</v>
      </c>
      <c r="V104" s="5">
        <f t="shared" si="18"/>
        <v>1.43</v>
      </c>
      <c r="W104" s="5">
        <f t="shared" si="18"/>
        <v>1.23</v>
      </c>
      <c r="X104" s="5">
        <f t="shared" si="18"/>
        <v>1.09</v>
      </c>
      <c r="Y104" s="5">
        <f t="shared" si="18"/>
        <v>0.94</v>
      </c>
      <c r="Z104" s="5">
        <f t="shared" si="18"/>
        <v>0.98</v>
      </c>
      <c r="AA104" s="5">
        <f t="shared" si="18"/>
        <v>0.95</v>
      </c>
      <c r="AB104" s="5">
        <f t="shared" si="18"/>
        <v>0.93</v>
      </c>
      <c r="AC104" s="5">
        <f t="shared" si="18"/>
        <v>0.81</v>
      </c>
      <c r="AD104" s="5">
        <f t="shared" si="18"/>
        <v>0.79</v>
      </c>
      <c r="AE104" s="5">
        <f t="shared" si="18"/>
        <v>0.77</v>
      </c>
      <c r="AF104" s="5">
        <f t="shared" si="18"/>
        <v>0.73</v>
      </c>
      <c r="AG104" s="5">
        <f t="shared" si="18"/>
        <v>0.71</v>
      </c>
      <c r="AH104" s="5">
        <f t="shared" si="17"/>
        <v>0.69</v>
      </c>
      <c r="AI104" s="5">
        <f t="shared" si="17"/>
        <v>0.67</v>
      </c>
      <c r="AJ104" s="5">
        <f t="shared" si="17"/>
        <v>0.66</v>
      </c>
    </row>
    <row r="105" spans="1:36">
      <c r="A105" t="str">
        <f>"electricity_archetype_"&amp;TEXT(ROUND(Table2[[#This Row],[2016]],1),"0.0")</f>
        <v>electricity_archetype_10.2</v>
      </c>
      <c r="B105" s="5">
        <f t="shared" si="13"/>
        <v>10.2</v>
      </c>
      <c r="C105" s="5">
        <f t="shared" si="19"/>
        <v>10.2</v>
      </c>
      <c r="D105" s="5">
        <f t="shared" si="19"/>
        <v>10.2</v>
      </c>
      <c r="E105" s="5">
        <f t="shared" si="19"/>
        <v>9.93</v>
      </c>
      <c r="F105" s="5">
        <f t="shared" si="19"/>
        <v>9.27</v>
      </c>
      <c r="G105" s="5">
        <f t="shared" si="19"/>
        <v>9.46</v>
      </c>
      <c r="H105" s="5">
        <f t="shared" si="19"/>
        <v>9.12</v>
      </c>
      <c r="I105" s="5">
        <f t="shared" si="19"/>
        <v>8.58</v>
      </c>
      <c r="J105" s="5">
        <f t="shared" si="19"/>
        <v>8.3</v>
      </c>
      <c r="K105" s="5">
        <f t="shared" si="19"/>
        <v>7.99</v>
      </c>
      <c r="L105" s="5">
        <f t="shared" si="19"/>
        <v>7.78</v>
      </c>
      <c r="M105" s="5">
        <f t="shared" si="19"/>
        <v>7.75</v>
      </c>
      <c r="N105" s="5">
        <f t="shared" si="19"/>
        <v>7.37</v>
      </c>
      <c r="O105" s="5">
        <f t="shared" si="19"/>
        <v>6.98</v>
      </c>
      <c r="P105" s="5">
        <f t="shared" si="19"/>
        <v>6.65</v>
      </c>
      <c r="Q105" s="5">
        <f t="shared" si="19"/>
        <v>5.43</v>
      </c>
      <c r="R105" s="5">
        <f t="shared" si="19"/>
        <v>3.89</v>
      </c>
      <c r="S105" s="5">
        <f t="shared" si="18"/>
        <v>3.47</v>
      </c>
      <c r="T105" s="5">
        <f t="shared" si="18"/>
        <v>2.33</v>
      </c>
      <c r="U105" s="5">
        <f t="shared" si="18"/>
        <v>1.56</v>
      </c>
      <c r="V105" s="5">
        <f t="shared" si="18"/>
        <v>1.42</v>
      </c>
      <c r="W105" s="5">
        <f t="shared" si="18"/>
        <v>1.23</v>
      </c>
      <c r="X105" s="5">
        <f t="shared" si="18"/>
        <v>1.08</v>
      </c>
      <c r="Y105" s="5">
        <f t="shared" si="18"/>
        <v>0.94</v>
      </c>
      <c r="Z105" s="5">
        <f t="shared" si="18"/>
        <v>0.97</v>
      </c>
      <c r="AA105" s="5">
        <f t="shared" si="18"/>
        <v>0.95</v>
      </c>
      <c r="AB105" s="5">
        <f t="shared" si="18"/>
        <v>0.93</v>
      </c>
      <c r="AC105" s="5">
        <f t="shared" si="18"/>
        <v>0.81</v>
      </c>
      <c r="AD105" s="5">
        <f t="shared" si="18"/>
        <v>0.79</v>
      </c>
      <c r="AE105" s="5">
        <f t="shared" si="18"/>
        <v>0.76</v>
      </c>
      <c r="AF105" s="5">
        <f t="shared" si="18"/>
        <v>0.73</v>
      </c>
      <c r="AG105" s="5">
        <f t="shared" si="18"/>
        <v>0.71</v>
      </c>
      <c r="AH105" s="5">
        <f t="shared" si="17"/>
        <v>0.69</v>
      </c>
      <c r="AI105" s="5">
        <f t="shared" si="17"/>
        <v>0.67</v>
      </c>
      <c r="AJ105" s="5">
        <f t="shared" si="17"/>
        <v>0.66</v>
      </c>
    </row>
    <row r="106" spans="1:36">
      <c r="A106" t="str">
        <f>"electricity_archetype_"&amp;TEXT(ROUND(Table2[[#This Row],[2016]],1),"0.0")</f>
        <v>electricity_archetype_10.1</v>
      </c>
      <c r="B106" s="5">
        <f t="shared" si="13"/>
        <v>10.1</v>
      </c>
      <c r="C106" s="5">
        <f t="shared" si="19"/>
        <v>10.1</v>
      </c>
      <c r="D106" s="5">
        <f t="shared" si="19"/>
        <v>10.1</v>
      </c>
      <c r="E106" s="5">
        <f t="shared" si="19"/>
        <v>9.83</v>
      </c>
      <c r="F106" s="5">
        <f t="shared" si="19"/>
        <v>9.18</v>
      </c>
      <c r="G106" s="5">
        <f t="shared" si="19"/>
        <v>9.37</v>
      </c>
      <c r="H106" s="5">
        <f t="shared" si="19"/>
        <v>9.03</v>
      </c>
      <c r="I106" s="5">
        <f t="shared" si="19"/>
        <v>8.5</v>
      </c>
      <c r="J106" s="5">
        <f t="shared" si="19"/>
        <v>8.22</v>
      </c>
      <c r="K106" s="5">
        <f t="shared" si="19"/>
        <v>7.92</v>
      </c>
      <c r="L106" s="5">
        <f t="shared" si="19"/>
        <v>7.7</v>
      </c>
      <c r="M106" s="5">
        <f t="shared" si="19"/>
        <v>7.68</v>
      </c>
      <c r="N106" s="5">
        <f t="shared" si="19"/>
        <v>7.3</v>
      </c>
      <c r="O106" s="5">
        <f t="shared" si="19"/>
        <v>6.91</v>
      </c>
      <c r="P106" s="5">
        <f t="shared" si="19"/>
        <v>6.58</v>
      </c>
      <c r="Q106" s="5">
        <f t="shared" si="19"/>
        <v>5.38</v>
      </c>
      <c r="R106" s="5">
        <f t="shared" si="19"/>
        <v>3.86</v>
      </c>
      <c r="S106" s="5">
        <f t="shared" si="18"/>
        <v>3.44</v>
      </c>
      <c r="T106" s="5">
        <f t="shared" si="18"/>
        <v>2.32</v>
      </c>
      <c r="U106" s="5">
        <f t="shared" si="18"/>
        <v>1.55</v>
      </c>
      <c r="V106" s="5">
        <f t="shared" si="18"/>
        <v>1.42</v>
      </c>
      <c r="W106" s="5">
        <f t="shared" si="18"/>
        <v>1.22</v>
      </c>
      <c r="X106" s="5">
        <f t="shared" si="18"/>
        <v>1.08</v>
      </c>
      <c r="Y106" s="5">
        <f t="shared" si="18"/>
        <v>0.94</v>
      </c>
      <c r="Z106" s="5">
        <f t="shared" si="18"/>
        <v>0.97</v>
      </c>
      <c r="AA106" s="5">
        <f t="shared" si="18"/>
        <v>0.94</v>
      </c>
      <c r="AB106" s="5">
        <f t="shared" si="18"/>
        <v>0.93</v>
      </c>
      <c r="AC106" s="5">
        <f t="shared" si="18"/>
        <v>0.81</v>
      </c>
      <c r="AD106" s="5">
        <f t="shared" si="18"/>
        <v>0.79</v>
      </c>
      <c r="AE106" s="5">
        <f t="shared" si="18"/>
        <v>0.76</v>
      </c>
      <c r="AF106" s="5">
        <f t="shared" si="18"/>
        <v>0.72</v>
      </c>
      <c r="AG106" s="5">
        <f t="shared" si="18"/>
        <v>0.71</v>
      </c>
      <c r="AH106" s="5">
        <f t="shared" si="17"/>
        <v>0.69</v>
      </c>
      <c r="AI106" s="5">
        <f t="shared" si="17"/>
        <v>0.67</v>
      </c>
      <c r="AJ106" s="5">
        <f t="shared" si="17"/>
        <v>0.66</v>
      </c>
    </row>
    <row r="107" spans="1:36">
      <c r="A107" t="str">
        <f>"electricity_archetype_"&amp;TEXT(ROUND(Table2[[#This Row],[2016]],1),"0.0")</f>
        <v>electricity_archetype_10.0</v>
      </c>
      <c r="B107" s="5">
        <f t="shared" si="13"/>
        <v>10</v>
      </c>
      <c r="C107" s="5">
        <f t="shared" si="19"/>
        <v>10</v>
      </c>
      <c r="D107" s="5">
        <f t="shared" si="19"/>
        <v>10</v>
      </c>
      <c r="E107" s="5">
        <f t="shared" si="19"/>
        <v>9.73</v>
      </c>
      <c r="F107" s="5">
        <f t="shared" si="19"/>
        <v>9.09</v>
      </c>
      <c r="G107" s="5">
        <f t="shared" si="19"/>
        <v>9.27</v>
      </c>
      <c r="H107" s="5">
        <f t="shared" si="19"/>
        <v>8.94</v>
      </c>
      <c r="I107" s="5">
        <f t="shared" si="19"/>
        <v>8.41</v>
      </c>
      <c r="J107" s="5">
        <f t="shared" si="19"/>
        <v>8.14</v>
      </c>
      <c r="K107" s="5">
        <f t="shared" si="19"/>
        <v>7.84</v>
      </c>
      <c r="L107" s="5">
        <f t="shared" si="19"/>
        <v>7.63</v>
      </c>
      <c r="M107" s="5">
        <f t="shared" si="19"/>
        <v>7.61</v>
      </c>
      <c r="N107" s="5">
        <f t="shared" si="19"/>
        <v>7.23</v>
      </c>
      <c r="O107" s="5">
        <f t="shared" si="19"/>
        <v>6.85</v>
      </c>
      <c r="P107" s="5">
        <f t="shared" si="19"/>
        <v>6.52</v>
      </c>
      <c r="Q107" s="5">
        <f t="shared" si="19"/>
        <v>5.33</v>
      </c>
      <c r="R107" s="5">
        <f t="shared" si="19"/>
        <v>3.82</v>
      </c>
      <c r="S107" s="5">
        <f t="shared" si="18"/>
        <v>3.41</v>
      </c>
      <c r="T107" s="5">
        <f t="shared" si="18"/>
        <v>2.3</v>
      </c>
      <c r="U107" s="5">
        <f t="shared" si="18"/>
        <v>1.54</v>
      </c>
      <c r="V107" s="5">
        <f t="shared" si="18"/>
        <v>1.41</v>
      </c>
      <c r="W107" s="5">
        <f t="shared" si="18"/>
        <v>1.22</v>
      </c>
      <c r="X107" s="5">
        <f t="shared" si="18"/>
        <v>1.07</v>
      </c>
      <c r="Y107" s="5">
        <f t="shared" si="18"/>
        <v>0.93</v>
      </c>
      <c r="Z107" s="5">
        <f t="shared" si="18"/>
        <v>0.97</v>
      </c>
      <c r="AA107" s="5">
        <f t="shared" si="18"/>
        <v>0.94</v>
      </c>
      <c r="AB107" s="5">
        <f t="shared" si="18"/>
        <v>0.92</v>
      </c>
      <c r="AC107" s="5">
        <f t="shared" si="18"/>
        <v>0.81</v>
      </c>
      <c r="AD107" s="5">
        <f t="shared" si="18"/>
        <v>0.79</v>
      </c>
      <c r="AE107" s="5">
        <f t="shared" si="18"/>
        <v>0.76</v>
      </c>
      <c r="AF107" s="5">
        <f t="shared" si="18"/>
        <v>0.72</v>
      </c>
      <c r="AG107" s="5">
        <f t="shared" si="18"/>
        <v>0.71</v>
      </c>
      <c r="AH107" s="5">
        <f t="shared" si="17"/>
        <v>0.69</v>
      </c>
      <c r="AI107" s="5">
        <f t="shared" si="17"/>
        <v>0.67</v>
      </c>
      <c r="AJ107" s="5">
        <f t="shared" si="17"/>
        <v>0.66</v>
      </c>
    </row>
    <row r="108" spans="1:36">
      <c r="A108" t="str">
        <f>"electricity_archetype_"&amp;TEXT(ROUND(Table2[[#This Row],[2016]],1),"0.0")</f>
        <v>electricity_archetype_9.9</v>
      </c>
      <c r="B108" s="5">
        <f t="shared" si="13"/>
        <v>9.9</v>
      </c>
      <c r="C108" s="5">
        <f t="shared" si="19"/>
        <v>9.9</v>
      </c>
      <c r="D108" s="5">
        <f t="shared" si="19"/>
        <v>9.9</v>
      </c>
      <c r="E108" s="5">
        <f t="shared" si="19"/>
        <v>9.64</v>
      </c>
      <c r="F108" s="5">
        <f t="shared" si="19"/>
        <v>9</v>
      </c>
      <c r="G108" s="5">
        <f t="shared" si="19"/>
        <v>9.18</v>
      </c>
      <c r="H108" s="5">
        <f t="shared" si="19"/>
        <v>8.86</v>
      </c>
      <c r="I108" s="5">
        <f t="shared" si="19"/>
        <v>8.33</v>
      </c>
      <c r="J108" s="5">
        <f t="shared" si="19"/>
        <v>8.06</v>
      </c>
      <c r="K108" s="5">
        <f t="shared" si="19"/>
        <v>7.76</v>
      </c>
      <c r="L108" s="5">
        <f t="shared" si="19"/>
        <v>7.55</v>
      </c>
      <c r="M108" s="5">
        <f t="shared" si="19"/>
        <v>7.53</v>
      </c>
      <c r="N108" s="5">
        <f t="shared" si="19"/>
        <v>7.16</v>
      </c>
      <c r="O108" s="5">
        <f t="shared" si="19"/>
        <v>6.78</v>
      </c>
      <c r="P108" s="5">
        <f t="shared" si="19"/>
        <v>6.46</v>
      </c>
      <c r="Q108" s="5">
        <f t="shared" si="19"/>
        <v>5.28</v>
      </c>
      <c r="R108" s="5">
        <f t="shared" si="19"/>
        <v>3.79</v>
      </c>
      <c r="S108" s="5">
        <f t="shared" si="18"/>
        <v>3.38</v>
      </c>
      <c r="T108" s="5">
        <f t="shared" si="18"/>
        <v>2.28</v>
      </c>
      <c r="U108" s="5">
        <f t="shared" si="18"/>
        <v>1.53</v>
      </c>
      <c r="V108" s="5">
        <f t="shared" si="18"/>
        <v>1.4</v>
      </c>
      <c r="W108" s="5">
        <f t="shared" si="18"/>
        <v>1.21</v>
      </c>
      <c r="X108" s="5">
        <f t="shared" si="18"/>
        <v>1.07</v>
      </c>
      <c r="Y108" s="5">
        <f t="shared" si="18"/>
        <v>0.93</v>
      </c>
      <c r="Z108" s="5">
        <f t="shared" si="18"/>
        <v>0.97</v>
      </c>
      <c r="AA108" s="5">
        <f t="shared" si="18"/>
        <v>0.94</v>
      </c>
      <c r="AB108" s="5">
        <f t="shared" si="18"/>
        <v>0.92</v>
      </c>
      <c r="AC108" s="5">
        <f t="shared" si="18"/>
        <v>0.8</v>
      </c>
      <c r="AD108" s="5">
        <f t="shared" si="18"/>
        <v>0.78</v>
      </c>
      <c r="AE108" s="5">
        <f t="shared" si="18"/>
        <v>0.76</v>
      </c>
      <c r="AF108" s="5">
        <f t="shared" si="18"/>
        <v>0.72</v>
      </c>
      <c r="AG108" s="5">
        <f t="shared" si="18"/>
        <v>0.71</v>
      </c>
      <c r="AH108" s="5">
        <f t="shared" si="17"/>
        <v>0.69</v>
      </c>
      <c r="AI108" s="5">
        <f t="shared" si="17"/>
        <v>0.67</v>
      </c>
      <c r="AJ108" s="5">
        <f t="shared" si="17"/>
        <v>0.66</v>
      </c>
    </row>
    <row r="109" spans="1:36">
      <c r="A109" t="str">
        <f>"electricity_archetype_"&amp;TEXT(ROUND(Table2[[#This Row],[2016]],1),"0.0")</f>
        <v>electricity_archetype_9.8</v>
      </c>
      <c r="B109" s="5">
        <f t="shared" si="13"/>
        <v>9.8</v>
      </c>
      <c r="C109" s="5">
        <f t="shared" si="19"/>
        <v>9.8</v>
      </c>
      <c r="D109" s="5">
        <f t="shared" si="19"/>
        <v>9.8</v>
      </c>
      <c r="E109" s="5">
        <f t="shared" si="19"/>
        <v>9.54</v>
      </c>
      <c r="F109" s="5">
        <f t="shared" si="19"/>
        <v>8.91</v>
      </c>
      <c r="G109" s="5">
        <f t="shared" si="19"/>
        <v>9.09</v>
      </c>
      <c r="H109" s="5">
        <f t="shared" si="19"/>
        <v>8.77</v>
      </c>
      <c r="I109" s="5">
        <f t="shared" si="19"/>
        <v>8.25</v>
      </c>
      <c r="J109" s="5">
        <f t="shared" si="19"/>
        <v>7.98</v>
      </c>
      <c r="K109" s="5">
        <f t="shared" si="19"/>
        <v>7.68</v>
      </c>
      <c r="L109" s="5">
        <f t="shared" si="19"/>
        <v>7.48</v>
      </c>
      <c r="M109" s="5">
        <f t="shared" si="19"/>
        <v>7.46</v>
      </c>
      <c r="N109" s="5">
        <f t="shared" si="19"/>
        <v>7.09</v>
      </c>
      <c r="O109" s="5">
        <f t="shared" si="19"/>
        <v>6.71</v>
      </c>
      <c r="P109" s="5">
        <f t="shared" si="19"/>
        <v>6.39</v>
      </c>
      <c r="Q109" s="5">
        <f t="shared" si="19"/>
        <v>5.23</v>
      </c>
      <c r="R109" s="5">
        <f t="shared" si="19"/>
        <v>3.76</v>
      </c>
      <c r="S109" s="5">
        <f t="shared" si="18"/>
        <v>3.36</v>
      </c>
      <c r="T109" s="5">
        <f t="shared" si="18"/>
        <v>2.26</v>
      </c>
      <c r="U109" s="5">
        <f t="shared" si="18"/>
        <v>1.52</v>
      </c>
      <c r="V109" s="5">
        <f t="shared" si="18"/>
        <v>1.39</v>
      </c>
      <c r="W109" s="5">
        <f t="shared" si="18"/>
        <v>1.21</v>
      </c>
      <c r="X109" s="5">
        <f t="shared" si="18"/>
        <v>1.06</v>
      </c>
      <c r="Y109" s="5">
        <f t="shared" si="18"/>
        <v>0.93</v>
      </c>
      <c r="Z109" s="5">
        <f t="shared" si="18"/>
        <v>0.96</v>
      </c>
      <c r="AA109" s="5">
        <f t="shared" si="18"/>
        <v>0.93</v>
      </c>
      <c r="AB109" s="5">
        <f t="shared" si="18"/>
        <v>0.92</v>
      </c>
      <c r="AC109" s="5">
        <f t="shared" si="18"/>
        <v>0.8</v>
      </c>
      <c r="AD109" s="5">
        <f t="shared" si="18"/>
        <v>0.78</v>
      </c>
      <c r="AE109" s="5">
        <f t="shared" si="18"/>
        <v>0.76</v>
      </c>
      <c r="AF109" s="5">
        <f t="shared" si="18"/>
        <v>0.72</v>
      </c>
      <c r="AG109" s="5">
        <f t="shared" si="18"/>
        <v>0.71</v>
      </c>
      <c r="AH109" s="5">
        <f t="shared" si="17"/>
        <v>0.69</v>
      </c>
      <c r="AI109" s="5">
        <f t="shared" si="17"/>
        <v>0.67</v>
      </c>
      <c r="AJ109" s="5">
        <f t="shared" si="17"/>
        <v>0.66</v>
      </c>
    </row>
    <row r="110" spans="1:36">
      <c r="A110" t="str">
        <f>"electricity_archetype_"&amp;TEXT(ROUND(Table2[[#This Row],[2016]],1),"0.0")</f>
        <v>electricity_archetype_9.7</v>
      </c>
      <c r="B110" s="5">
        <f t="shared" si="13"/>
        <v>9.7</v>
      </c>
      <c r="C110" s="5">
        <f t="shared" si="19"/>
        <v>9.7</v>
      </c>
      <c r="D110" s="5">
        <f t="shared" si="19"/>
        <v>9.7</v>
      </c>
      <c r="E110" s="5">
        <f t="shared" si="19"/>
        <v>9.44</v>
      </c>
      <c r="F110" s="5">
        <f t="shared" si="19"/>
        <v>8.82</v>
      </c>
      <c r="G110" s="5">
        <f t="shared" si="19"/>
        <v>9</v>
      </c>
      <c r="H110" s="5">
        <f t="shared" si="19"/>
        <v>8.68</v>
      </c>
      <c r="I110" s="5">
        <f t="shared" si="19"/>
        <v>8.17</v>
      </c>
      <c r="J110" s="5">
        <f t="shared" si="19"/>
        <v>7.9</v>
      </c>
      <c r="K110" s="5">
        <f t="shared" si="19"/>
        <v>7.61</v>
      </c>
      <c r="L110" s="5">
        <f t="shared" si="19"/>
        <v>7.41</v>
      </c>
      <c r="M110" s="5">
        <f t="shared" si="19"/>
        <v>7.38</v>
      </c>
      <c r="N110" s="5">
        <f t="shared" si="19"/>
        <v>7.02</v>
      </c>
      <c r="O110" s="5">
        <f t="shared" si="19"/>
        <v>6.65</v>
      </c>
      <c r="P110" s="5">
        <f t="shared" si="19"/>
        <v>6.33</v>
      </c>
      <c r="Q110" s="5">
        <f t="shared" si="19"/>
        <v>5.18</v>
      </c>
      <c r="R110" s="5">
        <f t="shared" ref="R110:AG125" si="20">MROUND((($B110-$AJ$2)*((R$2-$AJ$2)/($B$2-$AJ$2)))+$AJ$2,0.01)</f>
        <v>3.72</v>
      </c>
      <c r="S110" s="5">
        <f t="shared" si="20"/>
        <v>3.33</v>
      </c>
      <c r="T110" s="5">
        <f t="shared" si="20"/>
        <v>2.25</v>
      </c>
      <c r="U110" s="5">
        <f t="shared" si="20"/>
        <v>1.51</v>
      </c>
      <c r="V110" s="5">
        <f t="shared" si="20"/>
        <v>1.38</v>
      </c>
      <c r="W110" s="5">
        <f t="shared" si="20"/>
        <v>1.2</v>
      </c>
      <c r="X110" s="5">
        <f t="shared" si="20"/>
        <v>1.06</v>
      </c>
      <c r="Y110" s="5">
        <f t="shared" si="20"/>
        <v>0.93</v>
      </c>
      <c r="Z110" s="5">
        <f t="shared" si="20"/>
        <v>0.96</v>
      </c>
      <c r="AA110" s="5">
        <f t="shared" si="20"/>
        <v>0.93</v>
      </c>
      <c r="AB110" s="5">
        <f t="shared" si="20"/>
        <v>0.91</v>
      </c>
      <c r="AC110" s="5">
        <f t="shared" si="20"/>
        <v>0.8</v>
      </c>
      <c r="AD110" s="5">
        <f t="shared" si="20"/>
        <v>0.78</v>
      </c>
      <c r="AE110" s="5">
        <f t="shared" si="20"/>
        <v>0.76</v>
      </c>
      <c r="AF110" s="5">
        <f t="shared" si="20"/>
        <v>0.72</v>
      </c>
      <c r="AG110" s="5">
        <f t="shared" si="20"/>
        <v>0.71</v>
      </c>
      <c r="AH110" s="5">
        <f t="shared" si="17"/>
        <v>0.69</v>
      </c>
      <c r="AI110" s="5">
        <f t="shared" si="17"/>
        <v>0.67</v>
      </c>
      <c r="AJ110" s="5">
        <f t="shared" si="17"/>
        <v>0.66</v>
      </c>
    </row>
    <row r="111" spans="1:36">
      <c r="A111" t="str">
        <f>"electricity_archetype_"&amp;TEXT(ROUND(Table2[[#This Row],[2016]],1),"0.0")</f>
        <v>electricity_archetype_9.6</v>
      </c>
      <c r="B111" s="5">
        <f t="shared" si="13"/>
        <v>9.6</v>
      </c>
      <c r="C111" s="5">
        <f t="shared" ref="C111:R126" si="21">MROUND((($B111-$AJ$2)*((C$2-$AJ$2)/($B$2-$AJ$2)))+$AJ$2,0.01)</f>
        <v>9.6</v>
      </c>
      <c r="D111" s="5">
        <f t="shared" si="21"/>
        <v>9.6</v>
      </c>
      <c r="E111" s="5">
        <f t="shared" si="21"/>
        <v>9.34</v>
      </c>
      <c r="F111" s="5">
        <f t="shared" si="21"/>
        <v>8.73</v>
      </c>
      <c r="G111" s="5">
        <f t="shared" si="21"/>
        <v>8.91</v>
      </c>
      <c r="H111" s="5">
        <f t="shared" si="21"/>
        <v>8.59</v>
      </c>
      <c r="I111" s="5">
        <f t="shared" si="21"/>
        <v>8.08</v>
      </c>
      <c r="J111" s="5">
        <f t="shared" si="21"/>
        <v>7.82</v>
      </c>
      <c r="K111" s="5">
        <f t="shared" si="21"/>
        <v>7.53</v>
      </c>
      <c r="L111" s="5">
        <f t="shared" si="21"/>
        <v>7.33</v>
      </c>
      <c r="M111" s="5">
        <f t="shared" si="21"/>
        <v>7.31</v>
      </c>
      <c r="N111" s="5">
        <f t="shared" si="21"/>
        <v>6.95</v>
      </c>
      <c r="O111" s="5">
        <f t="shared" si="21"/>
        <v>6.58</v>
      </c>
      <c r="P111" s="5">
        <f t="shared" si="21"/>
        <v>6.27</v>
      </c>
      <c r="Q111" s="5">
        <f t="shared" si="21"/>
        <v>5.13</v>
      </c>
      <c r="R111" s="5">
        <f t="shared" si="21"/>
        <v>3.69</v>
      </c>
      <c r="S111" s="5">
        <f t="shared" si="20"/>
        <v>3.3</v>
      </c>
      <c r="T111" s="5">
        <f t="shared" si="20"/>
        <v>2.23</v>
      </c>
      <c r="U111" s="5">
        <f t="shared" si="20"/>
        <v>1.5</v>
      </c>
      <c r="V111" s="5">
        <f t="shared" si="20"/>
        <v>1.38</v>
      </c>
      <c r="W111" s="5">
        <f t="shared" si="20"/>
        <v>1.19</v>
      </c>
      <c r="X111" s="5">
        <f t="shared" si="20"/>
        <v>1.05</v>
      </c>
      <c r="Y111" s="5">
        <f t="shared" si="20"/>
        <v>0.92</v>
      </c>
      <c r="Z111" s="5">
        <f t="shared" si="20"/>
        <v>0.96</v>
      </c>
      <c r="AA111" s="5">
        <f t="shared" si="20"/>
        <v>0.93</v>
      </c>
      <c r="AB111" s="5">
        <f t="shared" si="20"/>
        <v>0.91</v>
      </c>
      <c r="AC111" s="5">
        <f t="shared" si="20"/>
        <v>0.8</v>
      </c>
      <c r="AD111" s="5">
        <f t="shared" si="20"/>
        <v>0.78</v>
      </c>
      <c r="AE111" s="5">
        <f t="shared" si="20"/>
        <v>0.76</v>
      </c>
      <c r="AF111" s="5">
        <f t="shared" si="20"/>
        <v>0.72</v>
      </c>
      <c r="AG111" s="5">
        <f t="shared" si="20"/>
        <v>0.71</v>
      </c>
      <c r="AH111" s="5">
        <f t="shared" si="17"/>
        <v>0.69</v>
      </c>
      <c r="AI111" s="5">
        <f t="shared" si="17"/>
        <v>0.67</v>
      </c>
      <c r="AJ111" s="5">
        <f t="shared" si="17"/>
        <v>0.66</v>
      </c>
    </row>
    <row r="112" spans="1:36">
      <c r="A112" t="str">
        <f>"electricity_archetype_"&amp;TEXT(ROUND(Table2[[#This Row],[2016]],1),"0.0")</f>
        <v>electricity_archetype_9.5</v>
      </c>
      <c r="B112" s="5">
        <f t="shared" si="13"/>
        <v>9.5</v>
      </c>
      <c r="C112" s="5">
        <f t="shared" si="21"/>
        <v>9.5</v>
      </c>
      <c r="D112" s="5">
        <f t="shared" si="21"/>
        <v>9.5</v>
      </c>
      <c r="E112" s="5">
        <f t="shared" si="21"/>
        <v>9.25</v>
      </c>
      <c r="F112" s="5">
        <f t="shared" si="21"/>
        <v>8.64</v>
      </c>
      <c r="G112" s="5">
        <f t="shared" si="21"/>
        <v>8.81</v>
      </c>
      <c r="H112" s="5">
        <f t="shared" si="21"/>
        <v>8.5</v>
      </c>
      <c r="I112" s="5">
        <f t="shared" si="21"/>
        <v>8</v>
      </c>
      <c r="J112" s="5">
        <f t="shared" si="21"/>
        <v>7.74</v>
      </c>
      <c r="K112" s="5">
        <f t="shared" si="21"/>
        <v>7.45</v>
      </c>
      <c r="L112" s="5">
        <f t="shared" si="21"/>
        <v>7.26</v>
      </c>
      <c r="M112" s="5">
        <f t="shared" si="21"/>
        <v>7.23</v>
      </c>
      <c r="N112" s="5">
        <f t="shared" si="21"/>
        <v>6.88</v>
      </c>
      <c r="O112" s="5">
        <f t="shared" si="21"/>
        <v>6.52</v>
      </c>
      <c r="P112" s="5">
        <f t="shared" si="21"/>
        <v>6.21</v>
      </c>
      <c r="Q112" s="5">
        <f t="shared" si="21"/>
        <v>5.08</v>
      </c>
      <c r="R112" s="5">
        <f t="shared" si="21"/>
        <v>3.66</v>
      </c>
      <c r="S112" s="5">
        <f t="shared" si="20"/>
        <v>3.27</v>
      </c>
      <c r="T112" s="5">
        <f t="shared" si="20"/>
        <v>2.21</v>
      </c>
      <c r="U112" s="5">
        <f t="shared" si="20"/>
        <v>1.49</v>
      </c>
      <c r="V112" s="5">
        <f t="shared" si="20"/>
        <v>1.37</v>
      </c>
      <c r="W112" s="5">
        <f t="shared" si="20"/>
        <v>1.19</v>
      </c>
      <c r="X112" s="5">
        <f t="shared" si="20"/>
        <v>1.05</v>
      </c>
      <c r="Y112" s="5">
        <f t="shared" si="20"/>
        <v>0.92</v>
      </c>
      <c r="Z112" s="5">
        <f t="shared" si="20"/>
        <v>0.95</v>
      </c>
      <c r="AA112" s="5">
        <f t="shared" si="20"/>
        <v>0.92</v>
      </c>
      <c r="AB112" s="5">
        <f t="shared" si="20"/>
        <v>0.91</v>
      </c>
      <c r="AC112" s="5">
        <f t="shared" si="20"/>
        <v>0.8</v>
      </c>
      <c r="AD112" s="5">
        <f t="shared" si="20"/>
        <v>0.78</v>
      </c>
      <c r="AE112" s="5">
        <f t="shared" si="20"/>
        <v>0.76</v>
      </c>
      <c r="AF112" s="5">
        <f t="shared" si="20"/>
        <v>0.72</v>
      </c>
      <c r="AG112" s="5">
        <f t="shared" si="20"/>
        <v>0.7</v>
      </c>
      <c r="AH112" s="5">
        <f t="shared" si="17"/>
        <v>0.69</v>
      </c>
      <c r="AI112" s="5">
        <f t="shared" si="17"/>
        <v>0.67</v>
      </c>
      <c r="AJ112" s="5">
        <f t="shared" si="17"/>
        <v>0.66</v>
      </c>
    </row>
    <row r="113" spans="1:36">
      <c r="A113" t="str">
        <f>"electricity_archetype_"&amp;TEXT(ROUND(Table2[[#This Row],[2016]],1),"0.0")</f>
        <v>electricity_archetype_9.4</v>
      </c>
      <c r="B113" s="5">
        <f t="shared" si="13"/>
        <v>9.4</v>
      </c>
      <c r="C113" s="5">
        <f t="shared" si="21"/>
        <v>9.4</v>
      </c>
      <c r="D113" s="5">
        <f t="shared" si="21"/>
        <v>9.4</v>
      </c>
      <c r="E113" s="5">
        <f t="shared" si="21"/>
        <v>9.15</v>
      </c>
      <c r="F113" s="5">
        <f t="shared" si="21"/>
        <v>8.55</v>
      </c>
      <c r="G113" s="5">
        <f t="shared" si="21"/>
        <v>8.72</v>
      </c>
      <c r="H113" s="5">
        <f t="shared" si="21"/>
        <v>8.41</v>
      </c>
      <c r="I113" s="5">
        <f t="shared" si="21"/>
        <v>7.92</v>
      </c>
      <c r="J113" s="5">
        <f t="shared" si="21"/>
        <v>7.66</v>
      </c>
      <c r="K113" s="5">
        <f t="shared" si="21"/>
        <v>7.38</v>
      </c>
      <c r="L113" s="5">
        <f t="shared" si="21"/>
        <v>7.18</v>
      </c>
      <c r="M113" s="5">
        <f t="shared" si="21"/>
        <v>7.16</v>
      </c>
      <c r="N113" s="5">
        <f t="shared" si="21"/>
        <v>6.81</v>
      </c>
      <c r="O113" s="5">
        <f t="shared" si="21"/>
        <v>6.45</v>
      </c>
      <c r="P113" s="5">
        <f t="shared" si="21"/>
        <v>6.14</v>
      </c>
      <c r="Q113" s="5">
        <f t="shared" si="21"/>
        <v>5.03</v>
      </c>
      <c r="R113" s="5">
        <f t="shared" si="21"/>
        <v>3.62</v>
      </c>
      <c r="S113" s="5">
        <f t="shared" si="20"/>
        <v>3.24</v>
      </c>
      <c r="T113" s="5">
        <f t="shared" si="20"/>
        <v>2.19</v>
      </c>
      <c r="U113" s="5">
        <f t="shared" si="20"/>
        <v>1.48</v>
      </c>
      <c r="V113" s="5">
        <f t="shared" si="20"/>
        <v>1.36</v>
      </c>
      <c r="W113" s="5">
        <f t="shared" si="20"/>
        <v>1.18</v>
      </c>
      <c r="X113" s="5">
        <f t="shared" si="20"/>
        <v>1.05</v>
      </c>
      <c r="Y113" s="5">
        <f t="shared" si="20"/>
        <v>0.92</v>
      </c>
      <c r="Z113" s="5">
        <f t="shared" si="20"/>
        <v>0.95</v>
      </c>
      <c r="AA113" s="5">
        <f t="shared" si="20"/>
        <v>0.92</v>
      </c>
      <c r="AB113" s="5">
        <f t="shared" si="20"/>
        <v>0.91</v>
      </c>
      <c r="AC113" s="5">
        <f t="shared" si="20"/>
        <v>0.8</v>
      </c>
      <c r="AD113" s="5">
        <f t="shared" si="20"/>
        <v>0.78</v>
      </c>
      <c r="AE113" s="5">
        <f t="shared" si="20"/>
        <v>0.76</v>
      </c>
      <c r="AF113" s="5">
        <f t="shared" si="20"/>
        <v>0.72</v>
      </c>
      <c r="AG113" s="5">
        <f t="shared" si="20"/>
        <v>0.7</v>
      </c>
      <c r="AH113" s="5">
        <f t="shared" si="17"/>
        <v>0.69</v>
      </c>
      <c r="AI113" s="5">
        <f t="shared" si="17"/>
        <v>0.67</v>
      </c>
      <c r="AJ113" s="5">
        <f t="shared" si="17"/>
        <v>0.66</v>
      </c>
    </row>
    <row r="114" spans="1:36">
      <c r="A114" t="str">
        <f>"electricity_archetype_"&amp;TEXT(ROUND(Table2[[#This Row],[2016]],1),"0.0")</f>
        <v>electricity_archetype_9.3</v>
      </c>
      <c r="B114" s="5">
        <f t="shared" si="13"/>
        <v>9.3</v>
      </c>
      <c r="C114" s="5">
        <f t="shared" si="21"/>
        <v>9.3</v>
      </c>
      <c r="D114" s="5">
        <f t="shared" si="21"/>
        <v>9.3</v>
      </c>
      <c r="E114" s="5">
        <f t="shared" si="21"/>
        <v>9.05</v>
      </c>
      <c r="F114" s="5">
        <f t="shared" si="21"/>
        <v>8.46</v>
      </c>
      <c r="G114" s="5">
        <f t="shared" si="21"/>
        <v>8.63</v>
      </c>
      <c r="H114" s="5">
        <f t="shared" si="21"/>
        <v>8.32</v>
      </c>
      <c r="I114" s="5">
        <f t="shared" si="21"/>
        <v>7.83</v>
      </c>
      <c r="J114" s="5">
        <f t="shared" si="21"/>
        <v>7.58</v>
      </c>
      <c r="K114" s="5">
        <f t="shared" si="21"/>
        <v>7.3</v>
      </c>
      <c r="L114" s="5">
        <f t="shared" si="21"/>
        <v>7.11</v>
      </c>
      <c r="M114" s="5">
        <f t="shared" si="21"/>
        <v>7.09</v>
      </c>
      <c r="N114" s="5">
        <f t="shared" si="21"/>
        <v>6.74</v>
      </c>
      <c r="O114" s="5">
        <f t="shared" si="21"/>
        <v>6.38</v>
      </c>
      <c r="P114" s="5">
        <f t="shared" si="21"/>
        <v>6.08</v>
      </c>
      <c r="Q114" s="5">
        <f t="shared" si="21"/>
        <v>4.98</v>
      </c>
      <c r="R114" s="5">
        <f t="shared" si="21"/>
        <v>3.59</v>
      </c>
      <c r="S114" s="5">
        <f t="shared" si="20"/>
        <v>3.21</v>
      </c>
      <c r="T114" s="5">
        <f t="shared" si="20"/>
        <v>2.18</v>
      </c>
      <c r="U114" s="5">
        <f t="shared" si="20"/>
        <v>1.47</v>
      </c>
      <c r="V114" s="5">
        <f t="shared" si="20"/>
        <v>1.35</v>
      </c>
      <c r="W114" s="5">
        <f t="shared" si="20"/>
        <v>1.18</v>
      </c>
      <c r="X114" s="5">
        <f t="shared" si="20"/>
        <v>1.04</v>
      </c>
      <c r="Y114" s="5">
        <f t="shared" si="20"/>
        <v>0.91</v>
      </c>
      <c r="Z114" s="5">
        <f t="shared" si="20"/>
        <v>0.95</v>
      </c>
      <c r="AA114" s="5">
        <f t="shared" si="20"/>
        <v>0.92</v>
      </c>
      <c r="AB114" s="5">
        <f t="shared" si="20"/>
        <v>0.9</v>
      </c>
      <c r="AC114" s="5">
        <f t="shared" si="20"/>
        <v>0.79</v>
      </c>
      <c r="AD114" s="5">
        <f t="shared" si="20"/>
        <v>0.78</v>
      </c>
      <c r="AE114" s="5">
        <f t="shared" si="20"/>
        <v>0.75</v>
      </c>
      <c r="AF114" s="5">
        <f t="shared" si="20"/>
        <v>0.72</v>
      </c>
      <c r="AG114" s="5">
        <f t="shared" si="20"/>
        <v>0.7</v>
      </c>
      <c r="AH114" s="5">
        <f t="shared" si="17"/>
        <v>0.69</v>
      </c>
      <c r="AI114" s="5">
        <f t="shared" si="17"/>
        <v>0.67</v>
      </c>
      <c r="AJ114" s="5">
        <f t="shared" si="17"/>
        <v>0.66</v>
      </c>
    </row>
    <row r="115" spans="1:36">
      <c r="A115" t="str">
        <f>"electricity_archetype_"&amp;TEXT(ROUND(Table2[[#This Row],[2016]],1),"0.0")</f>
        <v>electricity_archetype_9.2</v>
      </c>
      <c r="B115" s="5">
        <f t="shared" si="13"/>
        <v>9.2</v>
      </c>
      <c r="C115" s="5">
        <f t="shared" si="21"/>
        <v>9.2</v>
      </c>
      <c r="D115" s="5">
        <f t="shared" si="21"/>
        <v>9.2</v>
      </c>
      <c r="E115" s="5">
        <f t="shared" si="21"/>
        <v>8.96</v>
      </c>
      <c r="F115" s="5">
        <f t="shared" si="21"/>
        <v>8.37</v>
      </c>
      <c r="G115" s="5">
        <f t="shared" si="21"/>
        <v>8.54</v>
      </c>
      <c r="H115" s="5">
        <f t="shared" si="21"/>
        <v>8.23</v>
      </c>
      <c r="I115" s="5">
        <f t="shared" si="21"/>
        <v>7.75</v>
      </c>
      <c r="J115" s="5">
        <f t="shared" si="21"/>
        <v>7.5</v>
      </c>
      <c r="K115" s="5">
        <f t="shared" si="21"/>
        <v>7.22</v>
      </c>
      <c r="L115" s="5">
        <f t="shared" si="21"/>
        <v>7.03</v>
      </c>
      <c r="M115" s="5">
        <f t="shared" si="21"/>
        <v>7.01</v>
      </c>
      <c r="N115" s="5">
        <f t="shared" si="21"/>
        <v>6.67</v>
      </c>
      <c r="O115" s="5">
        <f t="shared" si="21"/>
        <v>6.32</v>
      </c>
      <c r="P115" s="5">
        <f t="shared" si="21"/>
        <v>6.02</v>
      </c>
      <c r="Q115" s="5">
        <f t="shared" si="21"/>
        <v>4.93</v>
      </c>
      <c r="R115" s="5">
        <f t="shared" si="21"/>
        <v>3.55</v>
      </c>
      <c r="S115" s="5">
        <f t="shared" si="20"/>
        <v>3.18</v>
      </c>
      <c r="T115" s="5">
        <f t="shared" si="20"/>
        <v>2.16</v>
      </c>
      <c r="U115" s="5">
        <f t="shared" si="20"/>
        <v>1.46</v>
      </c>
      <c r="V115" s="5">
        <f t="shared" si="20"/>
        <v>1.34</v>
      </c>
      <c r="W115" s="5">
        <f t="shared" si="20"/>
        <v>1.17</v>
      </c>
      <c r="X115" s="5">
        <f t="shared" si="20"/>
        <v>1.04</v>
      </c>
      <c r="Y115" s="5">
        <f t="shared" si="20"/>
        <v>0.91</v>
      </c>
      <c r="Z115" s="5">
        <f t="shared" si="20"/>
        <v>0.94</v>
      </c>
      <c r="AA115" s="5">
        <f t="shared" si="20"/>
        <v>0.92</v>
      </c>
      <c r="AB115" s="5">
        <f t="shared" si="20"/>
        <v>0.9</v>
      </c>
      <c r="AC115" s="5">
        <f t="shared" si="20"/>
        <v>0.79</v>
      </c>
      <c r="AD115" s="5">
        <f t="shared" si="20"/>
        <v>0.77</v>
      </c>
      <c r="AE115" s="5">
        <f t="shared" si="20"/>
        <v>0.75</v>
      </c>
      <c r="AF115" s="5">
        <f t="shared" si="20"/>
        <v>0.72</v>
      </c>
      <c r="AG115" s="5">
        <f t="shared" si="20"/>
        <v>0.7</v>
      </c>
      <c r="AH115" s="5">
        <f t="shared" si="17"/>
        <v>0.69</v>
      </c>
      <c r="AI115" s="5">
        <f t="shared" si="17"/>
        <v>0.67</v>
      </c>
      <c r="AJ115" s="5">
        <f t="shared" si="17"/>
        <v>0.66</v>
      </c>
    </row>
    <row r="116" spans="1:36">
      <c r="A116" t="str">
        <f>"electricity_archetype_"&amp;TEXT(ROUND(Table2[[#This Row],[2016]],1),"0.0")</f>
        <v>electricity_archetype_9.1</v>
      </c>
      <c r="B116" s="5">
        <f t="shared" si="13"/>
        <v>9.1</v>
      </c>
      <c r="C116" s="5">
        <f t="shared" si="21"/>
        <v>9.1</v>
      </c>
      <c r="D116" s="5">
        <f t="shared" si="21"/>
        <v>9.1</v>
      </c>
      <c r="E116" s="5">
        <f t="shared" si="21"/>
        <v>8.86</v>
      </c>
      <c r="F116" s="5">
        <f t="shared" si="21"/>
        <v>8.27</v>
      </c>
      <c r="G116" s="5">
        <f t="shared" si="21"/>
        <v>8.44</v>
      </c>
      <c r="H116" s="5">
        <f t="shared" si="21"/>
        <v>8.15</v>
      </c>
      <c r="I116" s="5">
        <f t="shared" si="21"/>
        <v>7.67</v>
      </c>
      <c r="J116" s="5">
        <f t="shared" si="21"/>
        <v>7.42</v>
      </c>
      <c r="K116" s="5">
        <f t="shared" si="21"/>
        <v>7.15</v>
      </c>
      <c r="L116" s="5">
        <f t="shared" si="21"/>
        <v>6.96</v>
      </c>
      <c r="M116" s="5">
        <f t="shared" si="21"/>
        <v>6.94</v>
      </c>
      <c r="N116" s="5">
        <f t="shared" si="21"/>
        <v>6.6</v>
      </c>
      <c r="O116" s="5">
        <f t="shared" si="21"/>
        <v>6.25</v>
      </c>
      <c r="P116" s="5">
        <f t="shared" si="21"/>
        <v>5.96</v>
      </c>
      <c r="Q116" s="5">
        <f t="shared" si="21"/>
        <v>4.88</v>
      </c>
      <c r="R116" s="5">
        <f t="shared" si="21"/>
        <v>3.52</v>
      </c>
      <c r="S116" s="5">
        <f t="shared" si="20"/>
        <v>3.15</v>
      </c>
      <c r="T116" s="5">
        <f t="shared" si="20"/>
        <v>2.14</v>
      </c>
      <c r="U116" s="5">
        <f t="shared" si="20"/>
        <v>1.45</v>
      </c>
      <c r="V116" s="5">
        <f t="shared" si="20"/>
        <v>1.34</v>
      </c>
      <c r="W116" s="5">
        <f t="shared" si="20"/>
        <v>1.16</v>
      </c>
      <c r="X116" s="5">
        <f t="shared" si="20"/>
        <v>1.03</v>
      </c>
      <c r="Y116" s="5">
        <f t="shared" si="20"/>
        <v>0.91</v>
      </c>
      <c r="Z116" s="5">
        <f t="shared" si="20"/>
        <v>0.94</v>
      </c>
      <c r="AA116" s="5">
        <f t="shared" si="20"/>
        <v>0.91</v>
      </c>
      <c r="AB116" s="5">
        <f t="shared" si="20"/>
        <v>0.9</v>
      </c>
      <c r="AC116" s="5">
        <f t="shared" si="20"/>
        <v>0.79</v>
      </c>
      <c r="AD116" s="5">
        <f t="shared" si="20"/>
        <v>0.77</v>
      </c>
      <c r="AE116" s="5">
        <f t="shared" si="20"/>
        <v>0.75</v>
      </c>
      <c r="AF116" s="5">
        <f t="shared" si="20"/>
        <v>0.72</v>
      </c>
      <c r="AG116" s="5">
        <f t="shared" si="20"/>
        <v>0.7</v>
      </c>
      <c r="AH116" s="5">
        <f t="shared" si="17"/>
        <v>0.69</v>
      </c>
      <c r="AI116" s="5">
        <f t="shared" si="17"/>
        <v>0.67</v>
      </c>
      <c r="AJ116" s="5">
        <f t="shared" si="17"/>
        <v>0.66</v>
      </c>
    </row>
    <row r="117" spans="1:36">
      <c r="A117" t="str">
        <f>"electricity_archetype_"&amp;TEXT(ROUND(Table2[[#This Row],[2016]],1),"0.0")</f>
        <v>electricity_archetype_9.0</v>
      </c>
      <c r="B117" s="5">
        <f t="shared" si="13"/>
        <v>9</v>
      </c>
      <c r="C117" s="5">
        <f t="shared" si="21"/>
        <v>9</v>
      </c>
      <c r="D117" s="5">
        <f t="shared" si="21"/>
        <v>9</v>
      </c>
      <c r="E117" s="5">
        <f t="shared" si="21"/>
        <v>8.76</v>
      </c>
      <c r="F117" s="5">
        <f t="shared" si="21"/>
        <v>8.18</v>
      </c>
      <c r="G117" s="5">
        <f t="shared" si="21"/>
        <v>8.35</v>
      </c>
      <c r="H117" s="5">
        <f t="shared" si="21"/>
        <v>8.06</v>
      </c>
      <c r="I117" s="5">
        <f t="shared" si="21"/>
        <v>7.58</v>
      </c>
      <c r="J117" s="5">
        <f t="shared" si="21"/>
        <v>7.34</v>
      </c>
      <c r="K117" s="5">
        <f t="shared" si="21"/>
        <v>7.07</v>
      </c>
      <c r="L117" s="5">
        <f t="shared" si="21"/>
        <v>6.88</v>
      </c>
      <c r="M117" s="5">
        <f t="shared" si="21"/>
        <v>6.86</v>
      </c>
      <c r="N117" s="5">
        <f t="shared" si="21"/>
        <v>6.52</v>
      </c>
      <c r="O117" s="5">
        <f t="shared" si="21"/>
        <v>6.18</v>
      </c>
      <c r="P117" s="5">
        <f t="shared" si="21"/>
        <v>5.89</v>
      </c>
      <c r="Q117" s="5">
        <f t="shared" si="21"/>
        <v>4.83</v>
      </c>
      <c r="R117" s="5">
        <f t="shared" si="21"/>
        <v>3.49</v>
      </c>
      <c r="S117" s="5">
        <f t="shared" si="20"/>
        <v>3.12</v>
      </c>
      <c r="T117" s="5">
        <f t="shared" si="20"/>
        <v>2.12</v>
      </c>
      <c r="U117" s="5">
        <f t="shared" si="20"/>
        <v>1.44</v>
      </c>
      <c r="V117" s="5">
        <f t="shared" si="20"/>
        <v>1.33</v>
      </c>
      <c r="W117" s="5">
        <f t="shared" si="20"/>
        <v>1.16</v>
      </c>
      <c r="X117" s="5">
        <f t="shared" si="20"/>
        <v>1.03</v>
      </c>
      <c r="Y117" s="5">
        <f t="shared" si="20"/>
        <v>0.91</v>
      </c>
      <c r="Z117" s="5">
        <f t="shared" si="20"/>
        <v>0.94</v>
      </c>
      <c r="AA117" s="5">
        <f t="shared" si="20"/>
        <v>0.91</v>
      </c>
      <c r="AB117" s="5">
        <f t="shared" si="20"/>
        <v>0.89</v>
      </c>
      <c r="AC117" s="5">
        <f t="shared" si="20"/>
        <v>0.79</v>
      </c>
      <c r="AD117" s="5">
        <f t="shared" si="20"/>
        <v>0.77</v>
      </c>
      <c r="AE117" s="5">
        <f t="shared" si="20"/>
        <v>0.75</v>
      </c>
      <c r="AF117" s="5">
        <f t="shared" si="20"/>
        <v>0.72</v>
      </c>
      <c r="AG117" s="5">
        <f t="shared" si="20"/>
        <v>0.7</v>
      </c>
      <c r="AH117" s="5">
        <f t="shared" si="17"/>
        <v>0.69</v>
      </c>
      <c r="AI117" s="5">
        <f t="shared" si="17"/>
        <v>0.67</v>
      </c>
      <c r="AJ117" s="5">
        <f t="shared" si="17"/>
        <v>0.66</v>
      </c>
    </row>
    <row r="118" spans="1:36">
      <c r="A118" t="str">
        <f>"electricity_archetype_"&amp;TEXT(ROUND(Table2[[#This Row],[2016]],1),"0.0")</f>
        <v>electricity_archetype_8.9</v>
      </c>
      <c r="B118" s="5">
        <f t="shared" si="13"/>
        <v>8.9</v>
      </c>
      <c r="C118" s="5">
        <f t="shared" si="21"/>
        <v>8.9</v>
      </c>
      <c r="D118" s="5">
        <f t="shared" si="21"/>
        <v>8.9</v>
      </c>
      <c r="E118" s="5">
        <f t="shared" si="21"/>
        <v>8.66</v>
      </c>
      <c r="F118" s="5">
        <f t="shared" si="21"/>
        <v>8.09</v>
      </c>
      <c r="G118" s="5">
        <f t="shared" si="21"/>
        <v>8.26</v>
      </c>
      <c r="H118" s="5">
        <f t="shared" si="21"/>
        <v>7.97</v>
      </c>
      <c r="I118" s="5">
        <f t="shared" si="21"/>
        <v>7.5</v>
      </c>
      <c r="J118" s="5">
        <f t="shared" si="21"/>
        <v>7.26</v>
      </c>
      <c r="K118" s="5">
        <f t="shared" si="21"/>
        <v>6.99</v>
      </c>
      <c r="L118" s="5">
        <f t="shared" si="21"/>
        <v>6.81</v>
      </c>
      <c r="M118" s="5">
        <f t="shared" si="21"/>
        <v>6.79</v>
      </c>
      <c r="N118" s="5">
        <f t="shared" si="21"/>
        <v>6.45</v>
      </c>
      <c r="O118" s="5">
        <f t="shared" si="21"/>
        <v>6.12</v>
      </c>
      <c r="P118" s="5">
        <f t="shared" si="21"/>
        <v>5.83</v>
      </c>
      <c r="Q118" s="5">
        <f t="shared" si="21"/>
        <v>4.78</v>
      </c>
      <c r="R118" s="5">
        <f t="shared" si="21"/>
        <v>3.45</v>
      </c>
      <c r="S118" s="5">
        <f t="shared" si="20"/>
        <v>3.09</v>
      </c>
      <c r="T118" s="5">
        <f t="shared" si="20"/>
        <v>2.11</v>
      </c>
      <c r="U118" s="5">
        <f t="shared" si="20"/>
        <v>1.43</v>
      </c>
      <c r="V118" s="5">
        <f t="shared" si="20"/>
        <v>1.32</v>
      </c>
      <c r="W118" s="5">
        <f t="shared" si="20"/>
        <v>1.15</v>
      </c>
      <c r="X118" s="5">
        <f t="shared" si="20"/>
        <v>1.02</v>
      </c>
      <c r="Y118" s="5">
        <f t="shared" si="20"/>
        <v>0.9</v>
      </c>
      <c r="Z118" s="5">
        <f t="shared" si="20"/>
        <v>0.93</v>
      </c>
      <c r="AA118" s="5">
        <f t="shared" si="20"/>
        <v>0.91</v>
      </c>
      <c r="AB118" s="5">
        <f t="shared" si="20"/>
        <v>0.89</v>
      </c>
      <c r="AC118" s="5">
        <f t="shared" si="20"/>
        <v>0.79</v>
      </c>
      <c r="AD118" s="5">
        <f t="shared" si="20"/>
        <v>0.77</v>
      </c>
      <c r="AE118" s="5">
        <f t="shared" si="20"/>
        <v>0.75</v>
      </c>
      <c r="AF118" s="5">
        <f t="shared" si="20"/>
        <v>0.72</v>
      </c>
      <c r="AG118" s="5">
        <f t="shared" si="20"/>
        <v>0.7</v>
      </c>
      <c r="AH118" s="5">
        <f t="shared" si="17"/>
        <v>0.69</v>
      </c>
      <c r="AI118" s="5">
        <f t="shared" si="17"/>
        <v>0.67</v>
      </c>
      <c r="AJ118" s="5">
        <f t="shared" si="17"/>
        <v>0.66</v>
      </c>
    </row>
    <row r="119" spans="1:36">
      <c r="A119" t="str">
        <f>"electricity_archetype_"&amp;TEXT(ROUND(Table2[[#This Row],[2016]],1),"0.0")</f>
        <v>electricity_archetype_8.8</v>
      </c>
      <c r="B119" s="5">
        <f t="shared" si="13"/>
        <v>8.8</v>
      </c>
      <c r="C119" s="5">
        <f t="shared" si="21"/>
        <v>8.8</v>
      </c>
      <c r="D119" s="5">
        <f t="shared" si="21"/>
        <v>8.8</v>
      </c>
      <c r="E119" s="5">
        <f t="shared" si="21"/>
        <v>8.57</v>
      </c>
      <c r="F119" s="5">
        <f t="shared" si="21"/>
        <v>8</v>
      </c>
      <c r="G119" s="5">
        <f t="shared" si="21"/>
        <v>8.17</v>
      </c>
      <c r="H119" s="5">
        <f t="shared" si="21"/>
        <v>7.88</v>
      </c>
      <c r="I119" s="5">
        <f t="shared" si="21"/>
        <v>7.42</v>
      </c>
      <c r="J119" s="5">
        <f t="shared" si="21"/>
        <v>7.18</v>
      </c>
      <c r="K119" s="5">
        <f t="shared" si="21"/>
        <v>6.92</v>
      </c>
      <c r="L119" s="5">
        <f t="shared" si="21"/>
        <v>6.73</v>
      </c>
      <c r="M119" s="5">
        <f t="shared" si="21"/>
        <v>6.71</v>
      </c>
      <c r="N119" s="5">
        <f t="shared" si="21"/>
        <v>6.38</v>
      </c>
      <c r="O119" s="5">
        <f t="shared" si="21"/>
        <v>6.05</v>
      </c>
      <c r="P119" s="5">
        <f t="shared" si="21"/>
        <v>5.77</v>
      </c>
      <c r="Q119" s="5">
        <f t="shared" si="21"/>
        <v>4.73</v>
      </c>
      <c r="R119" s="5">
        <f t="shared" si="21"/>
        <v>3.42</v>
      </c>
      <c r="S119" s="5">
        <f t="shared" si="20"/>
        <v>3.06</v>
      </c>
      <c r="T119" s="5">
        <f t="shared" si="20"/>
        <v>2.09</v>
      </c>
      <c r="U119" s="5">
        <f t="shared" si="20"/>
        <v>1.43</v>
      </c>
      <c r="V119" s="5">
        <f t="shared" si="20"/>
        <v>1.31</v>
      </c>
      <c r="W119" s="5">
        <f t="shared" si="20"/>
        <v>1.15</v>
      </c>
      <c r="X119" s="5">
        <f t="shared" si="20"/>
        <v>1.02</v>
      </c>
      <c r="Y119" s="5">
        <f t="shared" si="20"/>
        <v>0.9</v>
      </c>
      <c r="Z119" s="5">
        <f t="shared" si="20"/>
        <v>0.93</v>
      </c>
      <c r="AA119" s="5">
        <f t="shared" si="20"/>
        <v>0.9</v>
      </c>
      <c r="AB119" s="5">
        <f t="shared" si="20"/>
        <v>0.89</v>
      </c>
      <c r="AC119" s="5">
        <f t="shared" si="20"/>
        <v>0.79</v>
      </c>
      <c r="AD119" s="5">
        <f t="shared" si="20"/>
        <v>0.77</v>
      </c>
      <c r="AE119" s="5">
        <f t="shared" si="20"/>
        <v>0.75</v>
      </c>
      <c r="AF119" s="5">
        <f t="shared" si="20"/>
        <v>0.72</v>
      </c>
      <c r="AG119" s="5">
        <f t="shared" si="20"/>
        <v>0.7</v>
      </c>
      <c r="AH119" s="5">
        <f t="shared" si="17"/>
        <v>0.69</v>
      </c>
      <c r="AI119" s="5">
        <f t="shared" si="17"/>
        <v>0.67</v>
      </c>
      <c r="AJ119" s="5">
        <f t="shared" si="17"/>
        <v>0.66</v>
      </c>
    </row>
    <row r="120" spans="1:36">
      <c r="A120" t="str">
        <f>"electricity_archetype_"&amp;TEXT(ROUND(Table2[[#This Row],[2016]],1),"0.0")</f>
        <v>electricity_archetype_8.7</v>
      </c>
      <c r="B120" s="5">
        <f t="shared" si="13"/>
        <v>8.7</v>
      </c>
      <c r="C120" s="5">
        <f t="shared" si="21"/>
        <v>8.7</v>
      </c>
      <c r="D120" s="5">
        <f t="shared" si="21"/>
        <v>8.7</v>
      </c>
      <c r="E120" s="5">
        <f t="shared" si="21"/>
        <v>8.47</v>
      </c>
      <c r="F120" s="5">
        <f t="shared" si="21"/>
        <v>7.91</v>
      </c>
      <c r="G120" s="5">
        <f t="shared" si="21"/>
        <v>8.07</v>
      </c>
      <c r="H120" s="5">
        <f t="shared" si="21"/>
        <v>7.79</v>
      </c>
      <c r="I120" s="5">
        <f t="shared" si="21"/>
        <v>7.33</v>
      </c>
      <c r="J120" s="5">
        <f t="shared" si="21"/>
        <v>7.1</v>
      </c>
      <c r="K120" s="5">
        <f t="shared" si="21"/>
        <v>6.84</v>
      </c>
      <c r="L120" s="5">
        <f t="shared" si="21"/>
        <v>6.66</v>
      </c>
      <c r="M120" s="5">
        <f t="shared" si="21"/>
        <v>6.64</v>
      </c>
      <c r="N120" s="5">
        <f t="shared" si="21"/>
        <v>6.31</v>
      </c>
      <c r="O120" s="5">
        <f t="shared" si="21"/>
        <v>5.99</v>
      </c>
      <c r="P120" s="5">
        <f t="shared" si="21"/>
        <v>5.7</v>
      </c>
      <c r="Q120" s="5">
        <f t="shared" si="21"/>
        <v>4.68</v>
      </c>
      <c r="R120" s="5">
        <f t="shared" si="21"/>
        <v>3.38</v>
      </c>
      <c r="S120" s="5">
        <f t="shared" si="20"/>
        <v>3.03</v>
      </c>
      <c r="T120" s="5">
        <f t="shared" si="20"/>
        <v>2.07</v>
      </c>
      <c r="U120" s="5">
        <f t="shared" si="20"/>
        <v>1.42</v>
      </c>
      <c r="V120" s="5">
        <f t="shared" si="20"/>
        <v>1.3</v>
      </c>
      <c r="W120" s="5">
        <f t="shared" si="20"/>
        <v>1.14</v>
      </c>
      <c r="X120" s="5">
        <f t="shared" si="20"/>
        <v>1.01</v>
      </c>
      <c r="Y120" s="5">
        <f t="shared" si="20"/>
        <v>0.9</v>
      </c>
      <c r="Z120" s="5">
        <f t="shared" si="20"/>
        <v>0.93</v>
      </c>
      <c r="AA120" s="5">
        <f t="shared" si="20"/>
        <v>0.9</v>
      </c>
      <c r="AB120" s="5">
        <f t="shared" si="20"/>
        <v>0.89</v>
      </c>
      <c r="AC120" s="5">
        <f t="shared" si="20"/>
        <v>0.78</v>
      </c>
      <c r="AD120" s="5">
        <f t="shared" si="20"/>
        <v>0.77</v>
      </c>
      <c r="AE120" s="5">
        <f t="shared" si="20"/>
        <v>0.75</v>
      </c>
      <c r="AF120" s="5">
        <f t="shared" si="20"/>
        <v>0.71</v>
      </c>
      <c r="AG120" s="5">
        <f t="shared" si="20"/>
        <v>0.7</v>
      </c>
      <c r="AH120" s="5">
        <f t="shared" si="17"/>
        <v>0.69</v>
      </c>
      <c r="AI120" s="5">
        <f t="shared" si="17"/>
        <v>0.67</v>
      </c>
      <c r="AJ120" s="5">
        <f t="shared" si="17"/>
        <v>0.66</v>
      </c>
    </row>
    <row r="121" spans="1:36">
      <c r="A121" t="str">
        <f>"electricity_archetype_"&amp;TEXT(ROUND(Table2[[#This Row],[2016]],1),"0.0")</f>
        <v>electricity_archetype_8.6</v>
      </c>
      <c r="B121" s="5">
        <f t="shared" si="13"/>
        <v>8.6</v>
      </c>
      <c r="C121" s="5">
        <f t="shared" si="21"/>
        <v>8.6</v>
      </c>
      <c r="D121" s="5">
        <f t="shared" si="21"/>
        <v>8.6</v>
      </c>
      <c r="E121" s="5">
        <f t="shared" si="21"/>
        <v>8.37</v>
      </c>
      <c r="F121" s="5">
        <f t="shared" si="21"/>
        <v>7.82</v>
      </c>
      <c r="G121" s="5">
        <f t="shared" si="21"/>
        <v>7.98</v>
      </c>
      <c r="H121" s="5">
        <f t="shared" si="21"/>
        <v>7.7</v>
      </c>
      <c r="I121" s="5">
        <f t="shared" si="21"/>
        <v>7.25</v>
      </c>
      <c r="J121" s="5">
        <f t="shared" si="21"/>
        <v>7.02</v>
      </c>
      <c r="K121" s="5">
        <f t="shared" si="21"/>
        <v>6.76</v>
      </c>
      <c r="L121" s="5">
        <f t="shared" si="21"/>
        <v>6.58</v>
      </c>
      <c r="M121" s="5">
        <f t="shared" si="21"/>
        <v>6.56</v>
      </c>
      <c r="N121" s="5">
        <f t="shared" si="21"/>
        <v>6.24</v>
      </c>
      <c r="O121" s="5">
        <f t="shared" si="21"/>
        <v>5.92</v>
      </c>
      <c r="P121" s="5">
        <f t="shared" si="21"/>
        <v>5.64</v>
      </c>
      <c r="Q121" s="5">
        <f t="shared" si="21"/>
        <v>4.63</v>
      </c>
      <c r="R121" s="5">
        <f t="shared" si="21"/>
        <v>3.35</v>
      </c>
      <c r="S121" s="5">
        <f t="shared" si="20"/>
        <v>3</v>
      </c>
      <c r="T121" s="5">
        <f t="shared" si="20"/>
        <v>2.05</v>
      </c>
      <c r="U121" s="5">
        <f t="shared" si="20"/>
        <v>1.41</v>
      </c>
      <c r="V121" s="5">
        <f t="shared" si="20"/>
        <v>1.29</v>
      </c>
      <c r="W121" s="5">
        <f t="shared" si="20"/>
        <v>1.13</v>
      </c>
      <c r="X121" s="5">
        <f t="shared" si="20"/>
        <v>1.01</v>
      </c>
      <c r="Y121" s="5">
        <f t="shared" si="20"/>
        <v>0.89</v>
      </c>
      <c r="Z121" s="5">
        <f t="shared" si="20"/>
        <v>0.92</v>
      </c>
      <c r="AA121" s="5">
        <f t="shared" si="20"/>
        <v>0.9</v>
      </c>
      <c r="AB121" s="5">
        <f t="shared" si="20"/>
        <v>0.88</v>
      </c>
      <c r="AC121" s="5">
        <f t="shared" si="20"/>
        <v>0.78</v>
      </c>
      <c r="AD121" s="5">
        <f t="shared" si="20"/>
        <v>0.77</v>
      </c>
      <c r="AE121" s="5">
        <f t="shared" si="20"/>
        <v>0.75</v>
      </c>
      <c r="AF121" s="5">
        <f t="shared" si="20"/>
        <v>0.71</v>
      </c>
      <c r="AG121" s="5">
        <f t="shared" si="20"/>
        <v>0.7</v>
      </c>
      <c r="AH121" s="5">
        <f t="shared" si="17"/>
        <v>0.69</v>
      </c>
      <c r="AI121" s="5">
        <f t="shared" si="17"/>
        <v>0.67</v>
      </c>
      <c r="AJ121" s="5">
        <f t="shared" si="17"/>
        <v>0.66</v>
      </c>
    </row>
    <row r="122" spans="1:36">
      <c r="A122" t="str">
        <f>"electricity_archetype_"&amp;TEXT(ROUND(Table2[[#This Row],[2016]],1),"0.0")</f>
        <v>electricity_archetype_8.5</v>
      </c>
      <c r="B122" s="5">
        <f t="shared" si="13"/>
        <v>8.5</v>
      </c>
      <c r="C122" s="5">
        <f t="shared" si="21"/>
        <v>8.5</v>
      </c>
      <c r="D122" s="5">
        <f t="shared" si="21"/>
        <v>8.5</v>
      </c>
      <c r="E122" s="5">
        <f t="shared" si="21"/>
        <v>8.28</v>
      </c>
      <c r="F122" s="5">
        <f t="shared" si="21"/>
        <v>7.73</v>
      </c>
      <c r="G122" s="5">
        <f t="shared" si="21"/>
        <v>7.89</v>
      </c>
      <c r="H122" s="5">
        <f t="shared" si="21"/>
        <v>7.61</v>
      </c>
      <c r="I122" s="5">
        <f t="shared" si="21"/>
        <v>7.17</v>
      </c>
      <c r="J122" s="5">
        <f t="shared" si="21"/>
        <v>6.94</v>
      </c>
      <c r="K122" s="5">
        <f t="shared" si="21"/>
        <v>6.69</v>
      </c>
      <c r="L122" s="5">
        <f t="shared" si="21"/>
        <v>6.51</v>
      </c>
      <c r="M122" s="5">
        <f t="shared" si="21"/>
        <v>6.49</v>
      </c>
      <c r="N122" s="5">
        <f t="shared" si="21"/>
        <v>6.17</v>
      </c>
      <c r="O122" s="5">
        <f t="shared" si="21"/>
        <v>5.85</v>
      </c>
      <c r="P122" s="5">
        <f t="shared" si="21"/>
        <v>5.58</v>
      </c>
      <c r="Q122" s="5">
        <f t="shared" si="21"/>
        <v>4.58</v>
      </c>
      <c r="R122" s="5">
        <f t="shared" si="21"/>
        <v>3.32</v>
      </c>
      <c r="S122" s="5">
        <f t="shared" si="20"/>
        <v>2.97</v>
      </c>
      <c r="T122" s="5">
        <f t="shared" si="20"/>
        <v>2.04</v>
      </c>
      <c r="U122" s="5">
        <f t="shared" si="20"/>
        <v>1.4</v>
      </c>
      <c r="V122" s="5">
        <f t="shared" si="20"/>
        <v>1.29</v>
      </c>
      <c r="W122" s="5">
        <f t="shared" si="20"/>
        <v>1.13</v>
      </c>
      <c r="X122" s="5">
        <f t="shared" si="20"/>
        <v>1.01</v>
      </c>
      <c r="Y122" s="5">
        <f t="shared" si="20"/>
        <v>0.89</v>
      </c>
      <c r="Z122" s="5">
        <f t="shared" si="20"/>
        <v>0.92</v>
      </c>
      <c r="AA122" s="5">
        <f t="shared" si="20"/>
        <v>0.89</v>
      </c>
      <c r="AB122" s="5">
        <f t="shared" si="20"/>
        <v>0.88</v>
      </c>
      <c r="AC122" s="5">
        <f t="shared" si="20"/>
        <v>0.78</v>
      </c>
      <c r="AD122" s="5">
        <f t="shared" si="20"/>
        <v>0.76</v>
      </c>
      <c r="AE122" s="5">
        <f t="shared" si="20"/>
        <v>0.75</v>
      </c>
      <c r="AF122" s="5">
        <f t="shared" si="20"/>
        <v>0.71</v>
      </c>
      <c r="AG122" s="5">
        <f t="shared" si="20"/>
        <v>0.7</v>
      </c>
      <c r="AH122" s="5">
        <f t="shared" si="17"/>
        <v>0.69</v>
      </c>
      <c r="AI122" s="5">
        <f t="shared" si="17"/>
        <v>0.67</v>
      </c>
      <c r="AJ122" s="5">
        <f t="shared" si="17"/>
        <v>0.66</v>
      </c>
    </row>
    <row r="123" spans="1:36">
      <c r="A123" t="str">
        <f>"electricity_archetype_"&amp;TEXT(ROUND(Table2[[#This Row],[2016]],1),"0.0")</f>
        <v>electricity_archetype_8.4</v>
      </c>
      <c r="B123" s="5">
        <f t="shared" si="13"/>
        <v>8.4</v>
      </c>
      <c r="C123" s="5">
        <f t="shared" si="21"/>
        <v>8.4</v>
      </c>
      <c r="D123" s="5">
        <f t="shared" si="21"/>
        <v>8.4</v>
      </c>
      <c r="E123" s="5">
        <f t="shared" si="21"/>
        <v>8.18</v>
      </c>
      <c r="F123" s="5">
        <f t="shared" si="21"/>
        <v>7.64</v>
      </c>
      <c r="G123" s="5">
        <f t="shared" si="21"/>
        <v>7.8</v>
      </c>
      <c r="H123" s="5">
        <f t="shared" si="21"/>
        <v>7.52</v>
      </c>
      <c r="I123" s="5">
        <f t="shared" si="21"/>
        <v>7.09</v>
      </c>
      <c r="J123" s="5">
        <f t="shared" si="21"/>
        <v>6.85</v>
      </c>
      <c r="K123" s="5">
        <f t="shared" si="21"/>
        <v>6.61</v>
      </c>
      <c r="L123" s="5">
        <f t="shared" si="21"/>
        <v>6.44</v>
      </c>
      <c r="M123" s="5">
        <f t="shared" si="21"/>
        <v>6.42</v>
      </c>
      <c r="N123" s="5">
        <f t="shared" si="21"/>
        <v>6.1</v>
      </c>
      <c r="O123" s="5">
        <f t="shared" si="21"/>
        <v>5.79</v>
      </c>
      <c r="P123" s="5">
        <f t="shared" si="21"/>
        <v>5.52</v>
      </c>
      <c r="Q123" s="5">
        <f t="shared" si="21"/>
        <v>4.53</v>
      </c>
      <c r="R123" s="5">
        <f t="shared" si="21"/>
        <v>3.28</v>
      </c>
      <c r="S123" s="5">
        <f t="shared" si="20"/>
        <v>2.94</v>
      </c>
      <c r="T123" s="5">
        <f t="shared" si="20"/>
        <v>2.02</v>
      </c>
      <c r="U123" s="5">
        <f t="shared" si="20"/>
        <v>1.39</v>
      </c>
      <c r="V123" s="5">
        <f t="shared" si="20"/>
        <v>1.28</v>
      </c>
      <c r="W123" s="5">
        <f t="shared" si="20"/>
        <v>1.12</v>
      </c>
      <c r="X123" s="5">
        <f t="shared" si="20"/>
        <v>1</v>
      </c>
      <c r="Y123" s="5">
        <f t="shared" si="20"/>
        <v>0.89</v>
      </c>
      <c r="Z123" s="5">
        <f t="shared" si="20"/>
        <v>0.92</v>
      </c>
      <c r="AA123" s="5">
        <f t="shared" si="20"/>
        <v>0.89</v>
      </c>
      <c r="AB123" s="5">
        <f t="shared" si="20"/>
        <v>0.88</v>
      </c>
      <c r="AC123" s="5">
        <f t="shared" si="20"/>
        <v>0.78</v>
      </c>
      <c r="AD123" s="5">
        <f t="shared" si="20"/>
        <v>0.76</v>
      </c>
      <c r="AE123" s="5">
        <f t="shared" si="20"/>
        <v>0.74</v>
      </c>
      <c r="AF123" s="5">
        <f t="shared" si="20"/>
        <v>0.71</v>
      </c>
      <c r="AG123" s="5">
        <f t="shared" si="20"/>
        <v>0.7</v>
      </c>
      <c r="AH123" s="5">
        <f t="shared" si="17"/>
        <v>0.68</v>
      </c>
      <c r="AI123" s="5">
        <f t="shared" si="17"/>
        <v>0.67</v>
      </c>
      <c r="AJ123" s="5">
        <f t="shared" si="17"/>
        <v>0.66</v>
      </c>
    </row>
    <row r="124" spans="1:36">
      <c r="A124" t="str">
        <f>"electricity_archetype_"&amp;TEXT(ROUND(Table2[[#This Row],[2016]],1),"0.0")</f>
        <v>electricity_archetype_8.3</v>
      </c>
      <c r="B124" s="5">
        <f t="shared" si="13"/>
        <v>8.3</v>
      </c>
      <c r="C124" s="5">
        <f t="shared" si="21"/>
        <v>8.3</v>
      </c>
      <c r="D124" s="5">
        <f t="shared" si="21"/>
        <v>8.3</v>
      </c>
      <c r="E124" s="5">
        <f t="shared" si="21"/>
        <v>8.08</v>
      </c>
      <c r="F124" s="5">
        <f t="shared" si="21"/>
        <v>7.55</v>
      </c>
      <c r="G124" s="5">
        <f t="shared" si="21"/>
        <v>7.71</v>
      </c>
      <c r="H124" s="5">
        <f t="shared" si="21"/>
        <v>7.44</v>
      </c>
      <c r="I124" s="5">
        <f t="shared" si="21"/>
        <v>7</v>
      </c>
      <c r="J124" s="5">
        <f t="shared" si="21"/>
        <v>6.77</v>
      </c>
      <c r="K124" s="5">
        <f t="shared" si="21"/>
        <v>6.53</v>
      </c>
      <c r="L124" s="5">
        <f t="shared" si="21"/>
        <v>6.36</v>
      </c>
      <c r="M124" s="5">
        <f t="shared" si="21"/>
        <v>6.34</v>
      </c>
      <c r="N124" s="5">
        <f t="shared" si="21"/>
        <v>6.03</v>
      </c>
      <c r="O124" s="5">
        <f t="shared" si="21"/>
        <v>5.72</v>
      </c>
      <c r="P124" s="5">
        <f t="shared" si="21"/>
        <v>5.45</v>
      </c>
      <c r="Q124" s="5">
        <f t="shared" si="21"/>
        <v>4.48</v>
      </c>
      <c r="R124" s="5">
        <f t="shared" si="21"/>
        <v>3.25</v>
      </c>
      <c r="S124" s="5">
        <f t="shared" si="20"/>
        <v>2.91</v>
      </c>
      <c r="T124" s="5">
        <f t="shared" si="20"/>
        <v>2</v>
      </c>
      <c r="U124" s="5">
        <f t="shared" si="20"/>
        <v>1.38</v>
      </c>
      <c r="V124" s="5">
        <f t="shared" si="20"/>
        <v>1.27</v>
      </c>
      <c r="W124" s="5">
        <f t="shared" si="20"/>
        <v>1.12</v>
      </c>
      <c r="X124" s="5">
        <f t="shared" si="20"/>
        <v>1</v>
      </c>
      <c r="Y124" s="5">
        <f t="shared" si="20"/>
        <v>0.88</v>
      </c>
      <c r="Z124" s="5">
        <f t="shared" si="20"/>
        <v>0.91</v>
      </c>
      <c r="AA124" s="5">
        <f t="shared" si="20"/>
        <v>0.89</v>
      </c>
      <c r="AB124" s="5">
        <f t="shared" si="20"/>
        <v>0.87</v>
      </c>
      <c r="AC124" s="5">
        <f t="shared" si="20"/>
        <v>0.78</v>
      </c>
      <c r="AD124" s="5">
        <f t="shared" si="20"/>
        <v>0.76</v>
      </c>
      <c r="AE124" s="5">
        <f t="shared" si="20"/>
        <v>0.74</v>
      </c>
      <c r="AF124" s="5">
        <f t="shared" si="20"/>
        <v>0.71</v>
      </c>
      <c r="AG124" s="5">
        <f t="shared" si="20"/>
        <v>0.7</v>
      </c>
      <c r="AH124" s="5">
        <f t="shared" si="17"/>
        <v>0.68</v>
      </c>
      <c r="AI124" s="5">
        <f t="shared" si="17"/>
        <v>0.67</v>
      </c>
      <c r="AJ124" s="5">
        <f t="shared" si="17"/>
        <v>0.66</v>
      </c>
    </row>
    <row r="125" spans="1:36">
      <c r="A125" t="str">
        <f>"electricity_archetype_"&amp;TEXT(ROUND(Table2[[#This Row],[2016]],1),"0.0")</f>
        <v>electricity_archetype_8.2</v>
      </c>
      <c r="B125" s="5">
        <f t="shared" si="13"/>
        <v>8.2</v>
      </c>
      <c r="C125" s="5">
        <f t="shared" si="21"/>
        <v>8.2</v>
      </c>
      <c r="D125" s="5">
        <f t="shared" si="21"/>
        <v>8.2</v>
      </c>
      <c r="E125" s="5">
        <f t="shared" si="21"/>
        <v>7.98</v>
      </c>
      <c r="F125" s="5">
        <f t="shared" si="21"/>
        <v>7.46</v>
      </c>
      <c r="G125" s="5">
        <f t="shared" si="21"/>
        <v>7.61</v>
      </c>
      <c r="H125" s="5">
        <f t="shared" si="21"/>
        <v>7.35</v>
      </c>
      <c r="I125" s="5">
        <f t="shared" si="21"/>
        <v>6.92</v>
      </c>
      <c r="J125" s="5">
        <f t="shared" si="21"/>
        <v>6.69</v>
      </c>
      <c r="K125" s="5">
        <f t="shared" si="21"/>
        <v>6.45</v>
      </c>
      <c r="L125" s="5">
        <f t="shared" si="21"/>
        <v>6.29</v>
      </c>
      <c r="M125" s="5">
        <f t="shared" si="21"/>
        <v>6.27</v>
      </c>
      <c r="N125" s="5">
        <f t="shared" si="21"/>
        <v>5.96</v>
      </c>
      <c r="O125" s="5">
        <f t="shared" si="21"/>
        <v>5.65</v>
      </c>
      <c r="P125" s="5">
        <f t="shared" si="21"/>
        <v>5.39</v>
      </c>
      <c r="Q125" s="5">
        <f t="shared" si="21"/>
        <v>4.43</v>
      </c>
      <c r="R125" s="5">
        <f t="shared" si="21"/>
        <v>3.21</v>
      </c>
      <c r="S125" s="5">
        <f t="shared" si="20"/>
        <v>2.88</v>
      </c>
      <c r="T125" s="5">
        <f t="shared" si="20"/>
        <v>1.98</v>
      </c>
      <c r="U125" s="5">
        <f t="shared" si="20"/>
        <v>1.37</v>
      </c>
      <c r="V125" s="5">
        <f t="shared" si="20"/>
        <v>1.26</v>
      </c>
      <c r="W125" s="5">
        <f t="shared" si="20"/>
        <v>1.11</v>
      </c>
      <c r="X125" s="5">
        <f t="shared" si="20"/>
        <v>0.99</v>
      </c>
      <c r="Y125" s="5">
        <f t="shared" si="20"/>
        <v>0.88</v>
      </c>
      <c r="Z125" s="5">
        <f t="shared" si="20"/>
        <v>0.91</v>
      </c>
      <c r="AA125" s="5">
        <f t="shared" si="20"/>
        <v>0.89</v>
      </c>
      <c r="AB125" s="5">
        <f t="shared" si="20"/>
        <v>0.87</v>
      </c>
      <c r="AC125" s="5">
        <f t="shared" si="20"/>
        <v>0.78</v>
      </c>
      <c r="AD125" s="5">
        <f t="shared" si="20"/>
        <v>0.76</v>
      </c>
      <c r="AE125" s="5">
        <f t="shared" si="20"/>
        <v>0.74</v>
      </c>
      <c r="AF125" s="5">
        <f t="shared" si="20"/>
        <v>0.71</v>
      </c>
      <c r="AG125" s="5">
        <f t="shared" si="20"/>
        <v>0.7</v>
      </c>
      <c r="AH125" s="5">
        <f t="shared" si="17"/>
        <v>0.68</v>
      </c>
      <c r="AI125" s="5">
        <f t="shared" si="17"/>
        <v>0.67</v>
      </c>
      <c r="AJ125" s="5">
        <f t="shared" si="17"/>
        <v>0.66</v>
      </c>
    </row>
    <row r="126" spans="1:36">
      <c r="A126" t="str">
        <f>"electricity_archetype_"&amp;TEXT(ROUND(Table2[[#This Row],[2016]],1),"0.0")</f>
        <v>electricity_archetype_8.1</v>
      </c>
      <c r="B126" s="5">
        <f t="shared" si="13"/>
        <v>8.1</v>
      </c>
      <c r="C126" s="5">
        <f t="shared" si="21"/>
        <v>8.1</v>
      </c>
      <c r="D126" s="5">
        <f t="shared" si="21"/>
        <v>8.1</v>
      </c>
      <c r="E126" s="5">
        <f t="shared" si="21"/>
        <v>7.89</v>
      </c>
      <c r="F126" s="5">
        <f t="shared" si="21"/>
        <v>7.37</v>
      </c>
      <c r="G126" s="5">
        <f t="shared" si="21"/>
        <v>7.52</v>
      </c>
      <c r="H126" s="5">
        <f t="shared" si="21"/>
        <v>7.26</v>
      </c>
      <c r="I126" s="5">
        <f t="shared" si="21"/>
        <v>6.84</v>
      </c>
      <c r="J126" s="5">
        <f t="shared" si="21"/>
        <v>6.61</v>
      </c>
      <c r="K126" s="5">
        <f t="shared" si="21"/>
        <v>6.38</v>
      </c>
      <c r="L126" s="5">
        <f t="shared" si="21"/>
        <v>6.21</v>
      </c>
      <c r="M126" s="5">
        <f t="shared" si="21"/>
        <v>6.19</v>
      </c>
      <c r="N126" s="5">
        <f t="shared" si="21"/>
        <v>5.89</v>
      </c>
      <c r="O126" s="5">
        <f t="shared" si="21"/>
        <v>5.59</v>
      </c>
      <c r="P126" s="5">
        <f t="shared" si="21"/>
        <v>5.33</v>
      </c>
      <c r="Q126" s="5">
        <f t="shared" si="21"/>
        <v>4.38</v>
      </c>
      <c r="R126" s="5">
        <f t="shared" ref="R126:AG141" si="22">MROUND((($B126-$AJ$2)*((R$2-$AJ$2)/($B$2-$AJ$2)))+$AJ$2,0.01)</f>
        <v>3.18</v>
      </c>
      <c r="S126" s="5">
        <f t="shared" si="22"/>
        <v>2.85</v>
      </c>
      <c r="T126" s="5">
        <f t="shared" si="22"/>
        <v>1.97</v>
      </c>
      <c r="U126" s="5">
        <f t="shared" si="22"/>
        <v>1.36</v>
      </c>
      <c r="V126" s="5">
        <f t="shared" si="22"/>
        <v>1.25</v>
      </c>
      <c r="W126" s="5">
        <f t="shared" si="22"/>
        <v>1.1</v>
      </c>
      <c r="X126" s="5">
        <f t="shared" si="22"/>
        <v>0.99</v>
      </c>
      <c r="Y126" s="5">
        <f t="shared" si="22"/>
        <v>0.88</v>
      </c>
      <c r="Z126" s="5">
        <f t="shared" si="22"/>
        <v>0.91</v>
      </c>
      <c r="AA126" s="5">
        <f t="shared" si="22"/>
        <v>0.88</v>
      </c>
      <c r="AB126" s="5">
        <f t="shared" si="22"/>
        <v>0.87</v>
      </c>
      <c r="AC126" s="5">
        <f t="shared" si="22"/>
        <v>0.78</v>
      </c>
      <c r="AD126" s="5">
        <f t="shared" si="22"/>
        <v>0.76</v>
      </c>
      <c r="AE126" s="5">
        <f t="shared" si="22"/>
        <v>0.74</v>
      </c>
      <c r="AF126" s="5">
        <f t="shared" si="22"/>
        <v>0.71</v>
      </c>
      <c r="AG126" s="5">
        <f t="shared" si="22"/>
        <v>0.7</v>
      </c>
      <c r="AH126" s="5">
        <f t="shared" si="17"/>
        <v>0.68</v>
      </c>
      <c r="AI126" s="5">
        <f t="shared" si="17"/>
        <v>0.67</v>
      </c>
      <c r="AJ126" s="5">
        <f t="shared" si="17"/>
        <v>0.66</v>
      </c>
    </row>
    <row r="127" spans="1:36">
      <c r="A127" t="str">
        <f>"electricity_archetype_"&amp;TEXT(ROUND(Table2[[#This Row],[2016]],1),"0.0")</f>
        <v>electricity_archetype_8.0</v>
      </c>
      <c r="B127" s="5">
        <f t="shared" si="13"/>
        <v>8</v>
      </c>
      <c r="C127" s="5">
        <f t="shared" ref="C127:R142" si="23">MROUND((($B127-$AJ$2)*((C$2-$AJ$2)/($B$2-$AJ$2)))+$AJ$2,0.01)</f>
        <v>8</v>
      </c>
      <c r="D127" s="5">
        <f t="shared" si="23"/>
        <v>8</v>
      </c>
      <c r="E127" s="5">
        <f t="shared" si="23"/>
        <v>7.79</v>
      </c>
      <c r="F127" s="5">
        <f t="shared" si="23"/>
        <v>7.28</v>
      </c>
      <c r="G127" s="5">
        <f t="shared" si="23"/>
        <v>7.43</v>
      </c>
      <c r="H127" s="5">
        <f t="shared" si="23"/>
        <v>7.17</v>
      </c>
      <c r="I127" s="5">
        <f t="shared" si="23"/>
        <v>6.75</v>
      </c>
      <c r="J127" s="5">
        <f t="shared" si="23"/>
        <v>6.53</v>
      </c>
      <c r="K127" s="5">
        <f t="shared" si="23"/>
        <v>6.3</v>
      </c>
      <c r="L127" s="5">
        <f t="shared" si="23"/>
        <v>6.14</v>
      </c>
      <c r="M127" s="5">
        <f t="shared" si="23"/>
        <v>6.12</v>
      </c>
      <c r="N127" s="5">
        <f t="shared" si="23"/>
        <v>5.82</v>
      </c>
      <c r="O127" s="5">
        <f t="shared" si="23"/>
        <v>5.52</v>
      </c>
      <c r="P127" s="5">
        <f t="shared" si="23"/>
        <v>5.26</v>
      </c>
      <c r="Q127" s="5">
        <f t="shared" si="23"/>
        <v>4.33</v>
      </c>
      <c r="R127" s="5">
        <f t="shared" si="23"/>
        <v>3.15</v>
      </c>
      <c r="S127" s="5">
        <f t="shared" si="22"/>
        <v>2.82</v>
      </c>
      <c r="T127" s="5">
        <f t="shared" si="22"/>
        <v>1.95</v>
      </c>
      <c r="U127" s="5">
        <f t="shared" si="22"/>
        <v>1.35</v>
      </c>
      <c r="V127" s="5">
        <f t="shared" si="22"/>
        <v>1.25</v>
      </c>
      <c r="W127" s="5">
        <f t="shared" si="22"/>
        <v>1.1</v>
      </c>
      <c r="X127" s="5">
        <f t="shared" si="22"/>
        <v>0.98</v>
      </c>
      <c r="Y127" s="5">
        <f t="shared" si="22"/>
        <v>0.88</v>
      </c>
      <c r="Z127" s="5">
        <f t="shared" si="22"/>
        <v>0.9</v>
      </c>
      <c r="AA127" s="5">
        <f t="shared" si="22"/>
        <v>0.88</v>
      </c>
      <c r="AB127" s="5">
        <f t="shared" si="22"/>
        <v>0.87</v>
      </c>
      <c r="AC127" s="5">
        <f t="shared" si="22"/>
        <v>0.77</v>
      </c>
      <c r="AD127" s="5">
        <f t="shared" si="22"/>
        <v>0.76</v>
      </c>
      <c r="AE127" s="5">
        <f t="shared" si="22"/>
        <v>0.74</v>
      </c>
      <c r="AF127" s="5">
        <f t="shared" si="22"/>
        <v>0.71</v>
      </c>
      <c r="AG127" s="5">
        <f t="shared" si="22"/>
        <v>0.7</v>
      </c>
      <c r="AH127" s="5">
        <f t="shared" si="17"/>
        <v>0.68</v>
      </c>
      <c r="AI127" s="5">
        <f t="shared" si="17"/>
        <v>0.67</v>
      </c>
      <c r="AJ127" s="5">
        <f t="shared" si="17"/>
        <v>0.66</v>
      </c>
    </row>
    <row r="128" spans="1:36">
      <c r="A128" t="str">
        <f>"electricity_archetype_"&amp;TEXT(ROUND(Table2[[#This Row],[2016]],1),"0.0")</f>
        <v>electricity_archetype_7.9</v>
      </c>
      <c r="B128" s="5">
        <f t="shared" si="13"/>
        <v>7.9</v>
      </c>
      <c r="C128" s="5">
        <f t="shared" si="23"/>
        <v>7.9</v>
      </c>
      <c r="D128" s="5">
        <f t="shared" si="23"/>
        <v>7.9</v>
      </c>
      <c r="E128" s="5">
        <f t="shared" si="23"/>
        <v>7.69</v>
      </c>
      <c r="F128" s="5">
        <f t="shared" si="23"/>
        <v>7.19</v>
      </c>
      <c r="G128" s="5">
        <f t="shared" si="23"/>
        <v>7.34</v>
      </c>
      <c r="H128" s="5">
        <f t="shared" si="23"/>
        <v>7.08</v>
      </c>
      <c r="I128" s="5">
        <f t="shared" si="23"/>
        <v>6.67</v>
      </c>
      <c r="J128" s="5">
        <f t="shared" si="23"/>
        <v>6.45</v>
      </c>
      <c r="K128" s="5">
        <f t="shared" si="23"/>
        <v>6.22</v>
      </c>
      <c r="L128" s="5">
        <f t="shared" si="23"/>
        <v>6.06</v>
      </c>
      <c r="M128" s="5">
        <f t="shared" si="23"/>
        <v>6.04</v>
      </c>
      <c r="N128" s="5">
        <f t="shared" si="23"/>
        <v>5.75</v>
      </c>
      <c r="O128" s="5">
        <f t="shared" si="23"/>
        <v>5.46</v>
      </c>
      <c r="P128" s="5">
        <f t="shared" si="23"/>
        <v>5.2</v>
      </c>
      <c r="Q128" s="5">
        <f t="shared" si="23"/>
        <v>4.28</v>
      </c>
      <c r="R128" s="5">
        <f t="shared" si="23"/>
        <v>3.11</v>
      </c>
      <c r="S128" s="5">
        <f t="shared" si="22"/>
        <v>2.79</v>
      </c>
      <c r="T128" s="5">
        <f t="shared" si="22"/>
        <v>1.93</v>
      </c>
      <c r="U128" s="5">
        <f t="shared" si="22"/>
        <v>1.34</v>
      </c>
      <c r="V128" s="5">
        <f t="shared" si="22"/>
        <v>1.24</v>
      </c>
      <c r="W128" s="5">
        <f t="shared" si="22"/>
        <v>1.09</v>
      </c>
      <c r="X128" s="5">
        <f t="shared" si="22"/>
        <v>0.98</v>
      </c>
      <c r="Y128" s="5">
        <f t="shared" si="22"/>
        <v>0.87</v>
      </c>
      <c r="Z128" s="5">
        <f t="shared" si="22"/>
        <v>0.9</v>
      </c>
      <c r="AA128" s="5">
        <f t="shared" si="22"/>
        <v>0.88</v>
      </c>
      <c r="AB128" s="5">
        <f t="shared" si="22"/>
        <v>0.86</v>
      </c>
      <c r="AC128" s="5">
        <f t="shared" si="22"/>
        <v>0.77</v>
      </c>
      <c r="AD128" s="5">
        <f t="shared" si="22"/>
        <v>0.76</v>
      </c>
      <c r="AE128" s="5">
        <f t="shared" si="22"/>
        <v>0.74</v>
      </c>
      <c r="AF128" s="5">
        <f t="shared" si="22"/>
        <v>0.71</v>
      </c>
      <c r="AG128" s="5">
        <f t="shared" si="22"/>
        <v>0.7</v>
      </c>
      <c r="AH128" s="5">
        <f t="shared" si="17"/>
        <v>0.68</v>
      </c>
      <c r="AI128" s="5">
        <f t="shared" si="17"/>
        <v>0.67</v>
      </c>
      <c r="AJ128" s="5">
        <f t="shared" si="17"/>
        <v>0.66</v>
      </c>
    </row>
    <row r="129" spans="1:36">
      <c r="A129" t="str">
        <f>"electricity_archetype_"&amp;TEXT(ROUND(Table2[[#This Row],[2016]],1),"0.0")</f>
        <v>electricity_archetype_7.8</v>
      </c>
      <c r="B129" s="5">
        <f t="shared" si="13"/>
        <v>7.8</v>
      </c>
      <c r="C129" s="5">
        <f t="shared" si="23"/>
        <v>7.8</v>
      </c>
      <c r="D129" s="5">
        <f t="shared" si="23"/>
        <v>7.8</v>
      </c>
      <c r="E129" s="5">
        <f t="shared" si="23"/>
        <v>7.6</v>
      </c>
      <c r="F129" s="5">
        <f t="shared" si="23"/>
        <v>7.1</v>
      </c>
      <c r="G129" s="5">
        <f t="shared" si="23"/>
        <v>7.24</v>
      </c>
      <c r="H129" s="5">
        <f t="shared" si="23"/>
        <v>6.99</v>
      </c>
      <c r="I129" s="5">
        <f t="shared" si="23"/>
        <v>6.59</v>
      </c>
      <c r="J129" s="5">
        <f t="shared" si="23"/>
        <v>6.37</v>
      </c>
      <c r="K129" s="5">
        <f t="shared" si="23"/>
        <v>6.15</v>
      </c>
      <c r="L129" s="5">
        <f t="shared" si="23"/>
        <v>5.99</v>
      </c>
      <c r="M129" s="5">
        <f t="shared" si="23"/>
        <v>5.97</v>
      </c>
      <c r="N129" s="5">
        <f t="shared" si="23"/>
        <v>5.68</v>
      </c>
      <c r="O129" s="5">
        <f t="shared" si="23"/>
        <v>5.39</v>
      </c>
      <c r="P129" s="5">
        <f t="shared" si="23"/>
        <v>5.14</v>
      </c>
      <c r="Q129" s="5">
        <f t="shared" si="23"/>
        <v>4.23</v>
      </c>
      <c r="R129" s="5">
        <f t="shared" si="23"/>
        <v>3.08</v>
      </c>
      <c r="S129" s="5">
        <f t="shared" si="22"/>
        <v>2.77</v>
      </c>
      <c r="T129" s="5">
        <f t="shared" si="22"/>
        <v>1.91</v>
      </c>
      <c r="U129" s="5">
        <f t="shared" si="22"/>
        <v>1.33</v>
      </c>
      <c r="V129" s="5">
        <f t="shared" si="22"/>
        <v>1.23</v>
      </c>
      <c r="W129" s="5">
        <f t="shared" si="22"/>
        <v>1.09</v>
      </c>
      <c r="X129" s="5">
        <f t="shared" si="22"/>
        <v>0.97</v>
      </c>
      <c r="Y129" s="5">
        <f t="shared" si="22"/>
        <v>0.87</v>
      </c>
      <c r="Z129" s="5">
        <f t="shared" si="22"/>
        <v>0.9</v>
      </c>
      <c r="AA129" s="5">
        <f t="shared" si="22"/>
        <v>0.87</v>
      </c>
      <c r="AB129" s="5">
        <f t="shared" si="22"/>
        <v>0.86</v>
      </c>
      <c r="AC129" s="5">
        <f t="shared" si="22"/>
        <v>0.77</v>
      </c>
      <c r="AD129" s="5">
        <f t="shared" si="22"/>
        <v>0.75</v>
      </c>
      <c r="AE129" s="5">
        <f t="shared" si="22"/>
        <v>0.74</v>
      </c>
      <c r="AF129" s="5">
        <f t="shared" si="22"/>
        <v>0.71</v>
      </c>
      <c r="AG129" s="5">
        <f t="shared" si="22"/>
        <v>0.7</v>
      </c>
      <c r="AH129" s="5">
        <f t="shared" si="17"/>
        <v>0.68</v>
      </c>
      <c r="AI129" s="5">
        <f t="shared" si="17"/>
        <v>0.67</v>
      </c>
      <c r="AJ129" s="5">
        <f t="shared" si="17"/>
        <v>0.66</v>
      </c>
    </row>
    <row r="130" spans="1:36">
      <c r="A130" t="str">
        <f>"electricity_archetype_"&amp;TEXT(ROUND(Table2[[#This Row],[2016]],1),"0.0")</f>
        <v>electricity_archetype_7.7</v>
      </c>
      <c r="B130" s="5">
        <f t="shared" si="13"/>
        <v>7.7</v>
      </c>
      <c r="C130" s="5">
        <f t="shared" si="23"/>
        <v>7.7</v>
      </c>
      <c r="D130" s="5">
        <f t="shared" si="23"/>
        <v>7.7</v>
      </c>
      <c r="E130" s="5">
        <f t="shared" si="23"/>
        <v>7.5</v>
      </c>
      <c r="F130" s="5">
        <f t="shared" si="23"/>
        <v>7.01</v>
      </c>
      <c r="G130" s="5">
        <f t="shared" si="23"/>
        <v>7.15</v>
      </c>
      <c r="H130" s="5">
        <f t="shared" si="23"/>
        <v>6.9</v>
      </c>
      <c r="I130" s="5">
        <f t="shared" si="23"/>
        <v>6.5</v>
      </c>
      <c r="J130" s="5">
        <f t="shared" si="23"/>
        <v>6.29</v>
      </c>
      <c r="K130" s="5">
        <f t="shared" si="23"/>
        <v>6.07</v>
      </c>
      <c r="L130" s="5">
        <f t="shared" si="23"/>
        <v>5.91</v>
      </c>
      <c r="M130" s="5">
        <f t="shared" si="23"/>
        <v>5.9</v>
      </c>
      <c r="N130" s="5">
        <f t="shared" si="23"/>
        <v>5.61</v>
      </c>
      <c r="O130" s="5">
        <f t="shared" si="23"/>
        <v>5.32</v>
      </c>
      <c r="P130" s="5">
        <f t="shared" si="23"/>
        <v>5.08</v>
      </c>
      <c r="Q130" s="5">
        <f t="shared" si="23"/>
        <v>4.18</v>
      </c>
      <c r="R130" s="5">
        <f t="shared" si="23"/>
        <v>3.04</v>
      </c>
      <c r="S130" s="5">
        <f t="shared" si="22"/>
        <v>2.74</v>
      </c>
      <c r="T130" s="5">
        <f t="shared" si="22"/>
        <v>1.89</v>
      </c>
      <c r="U130" s="5">
        <f t="shared" si="22"/>
        <v>1.32</v>
      </c>
      <c r="V130" s="5">
        <f t="shared" si="22"/>
        <v>1.22</v>
      </c>
      <c r="W130" s="5">
        <f t="shared" si="22"/>
        <v>1.08</v>
      </c>
      <c r="X130" s="5">
        <f t="shared" si="22"/>
        <v>0.97</v>
      </c>
      <c r="Y130" s="5">
        <f t="shared" si="22"/>
        <v>0.87</v>
      </c>
      <c r="Z130" s="5">
        <f t="shared" si="22"/>
        <v>0.89</v>
      </c>
      <c r="AA130" s="5">
        <f t="shared" si="22"/>
        <v>0.87</v>
      </c>
      <c r="AB130" s="5">
        <f t="shared" si="22"/>
        <v>0.86</v>
      </c>
      <c r="AC130" s="5">
        <f t="shared" si="22"/>
        <v>0.77</v>
      </c>
      <c r="AD130" s="5">
        <f t="shared" si="22"/>
        <v>0.75</v>
      </c>
      <c r="AE130" s="5">
        <f t="shared" si="22"/>
        <v>0.74</v>
      </c>
      <c r="AF130" s="5">
        <f t="shared" si="22"/>
        <v>0.71</v>
      </c>
      <c r="AG130" s="5">
        <f t="shared" si="22"/>
        <v>0.69</v>
      </c>
      <c r="AH130" s="5">
        <f t="shared" si="17"/>
        <v>0.68</v>
      </c>
      <c r="AI130" s="5">
        <f t="shared" si="17"/>
        <v>0.67</v>
      </c>
      <c r="AJ130" s="5">
        <f t="shared" si="17"/>
        <v>0.66</v>
      </c>
    </row>
    <row r="131" spans="1:36">
      <c r="A131" t="str">
        <f>"electricity_archetype_"&amp;TEXT(ROUND(Table2[[#This Row],[2016]],1),"0.0")</f>
        <v>electricity_archetype_7.6</v>
      </c>
      <c r="B131" s="5">
        <f t="shared" si="13"/>
        <v>7.6</v>
      </c>
      <c r="C131" s="5">
        <f t="shared" si="23"/>
        <v>7.6</v>
      </c>
      <c r="D131" s="5">
        <f t="shared" si="23"/>
        <v>7.6</v>
      </c>
      <c r="E131" s="5">
        <f t="shared" si="23"/>
        <v>7.4</v>
      </c>
      <c r="F131" s="5">
        <f t="shared" si="23"/>
        <v>6.92</v>
      </c>
      <c r="G131" s="5">
        <f t="shared" si="23"/>
        <v>7.06</v>
      </c>
      <c r="H131" s="5">
        <f t="shared" si="23"/>
        <v>6.82</v>
      </c>
      <c r="I131" s="5">
        <f t="shared" si="23"/>
        <v>6.42</v>
      </c>
      <c r="J131" s="5">
        <f t="shared" si="23"/>
        <v>6.21</v>
      </c>
      <c r="K131" s="5">
        <f t="shared" si="23"/>
        <v>5.99</v>
      </c>
      <c r="L131" s="5">
        <f t="shared" si="23"/>
        <v>5.84</v>
      </c>
      <c r="M131" s="5">
        <f t="shared" si="23"/>
        <v>5.82</v>
      </c>
      <c r="N131" s="5">
        <f t="shared" si="23"/>
        <v>5.54</v>
      </c>
      <c r="O131" s="5">
        <f t="shared" si="23"/>
        <v>5.26</v>
      </c>
      <c r="P131" s="5">
        <f t="shared" si="23"/>
        <v>5.01</v>
      </c>
      <c r="Q131" s="5">
        <f t="shared" si="23"/>
        <v>4.13</v>
      </c>
      <c r="R131" s="5">
        <f t="shared" si="23"/>
        <v>3.01</v>
      </c>
      <c r="S131" s="5">
        <f t="shared" si="22"/>
        <v>2.71</v>
      </c>
      <c r="T131" s="5">
        <f t="shared" si="22"/>
        <v>1.88</v>
      </c>
      <c r="U131" s="5">
        <f t="shared" si="22"/>
        <v>1.31</v>
      </c>
      <c r="V131" s="5">
        <f t="shared" si="22"/>
        <v>1.21</v>
      </c>
      <c r="W131" s="5">
        <f t="shared" si="22"/>
        <v>1.07</v>
      </c>
      <c r="X131" s="5">
        <f t="shared" si="22"/>
        <v>0.97</v>
      </c>
      <c r="Y131" s="5">
        <f t="shared" si="22"/>
        <v>0.86</v>
      </c>
      <c r="Z131" s="5">
        <f t="shared" si="22"/>
        <v>0.89</v>
      </c>
      <c r="AA131" s="5">
        <f t="shared" si="22"/>
        <v>0.87</v>
      </c>
      <c r="AB131" s="5">
        <f t="shared" si="22"/>
        <v>0.85</v>
      </c>
      <c r="AC131" s="5">
        <f t="shared" si="22"/>
        <v>0.77</v>
      </c>
      <c r="AD131" s="5">
        <f t="shared" si="22"/>
        <v>0.75</v>
      </c>
      <c r="AE131" s="5">
        <f t="shared" si="22"/>
        <v>0.74</v>
      </c>
      <c r="AF131" s="5">
        <f t="shared" si="22"/>
        <v>0.71</v>
      </c>
      <c r="AG131" s="5">
        <f t="shared" si="22"/>
        <v>0.69</v>
      </c>
      <c r="AH131" s="5">
        <f t="shared" si="17"/>
        <v>0.68</v>
      </c>
      <c r="AI131" s="5">
        <f t="shared" si="17"/>
        <v>0.67</v>
      </c>
      <c r="AJ131" s="5">
        <f t="shared" si="17"/>
        <v>0.66</v>
      </c>
    </row>
    <row r="132" spans="1:36">
      <c r="A132" t="str">
        <f>"electricity_archetype_"&amp;TEXT(ROUND(Table2[[#This Row],[2016]],1),"0.0")</f>
        <v>electricity_archetype_7.5</v>
      </c>
      <c r="B132" s="5">
        <f t="shared" si="13"/>
        <v>7.5</v>
      </c>
      <c r="C132" s="5">
        <f t="shared" si="23"/>
        <v>7.5</v>
      </c>
      <c r="D132" s="5">
        <f t="shared" si="23"/>
        <v>7.5</v>
      </c>
      <c r="E132" s="5">
        <f t="shared" si="23"/>
        <v>7.3</v>
      </c>
      <c r="F132" s="5">
        <f t="shared" si="23"/>
        <v>6.83</v>
      </c>
      <c r="G132" s="5">
        <f t="shared" si="23"/>
        <v>6.97</v>
      </c>
      <c r="H132" s="5">
        <f t="shared" si="23"/>
        <v>6.73</v>
      </c>
      <c r="I132" s="5">
        <f t="shared" si="23"/>
        <v>6.34</v>
      </c>
      <c r="J132" s="5">
        <f t="shared" si="23"/>
        <v>6.13</v>
      </c>
      <c r="K132" s="5">
        <f t="shared" si="23"/>
        <v>5.92</v>
      </c>
      <c r="L132" s="5">
        <f t="shared" si="23"/>
        <v>5.76</v>
      </c>
      <c r="M132" s="5">
        <f t="shared" si="23"/>
        <v>5.75</v>
      </c>
      <c r="N132" s="5">
        <f t="shared" si="23"/>
        <v>5.47</v>
      </c>
      <c r="O132" s="5">
        <f t="shared" si="23"/>
        <v>5.19</v>
      </c>
      <c r="P132" s="5">
        <f t="shared" si="23"/>
        <v>4.95</v>
      </c>
      <c r="Q132" s="5">
        <f t="shared" si="23"/>
        <v>4.08</v>
      </c>
      <c r="R132" s="5">
        <f t="shared" si="23"/>
        <v>2.98</v>
      </c>
      <c r="S132" s="5">
        <f t="shared" si="22"/>
        <v>2.68</v>
      </c>
      <c r="T132" s="5">
        <f t="shared" si="22"/>
        <v>1.86</v>
      </c>
      <c r="U132" s="5">
        <f t="shared" si="22"/>
        <v>1.3</v>
      </c>
      <c r="V132" s="5">
        <f t="shared" si="22"/>
        <v>1.21</v>
      </c>
      <c r="W132" s="5">
        <f t="shared" si="22"/>
        <v>1.07</v>
      </c>
      <c r="X132" s="5">
        <f t="shared" si="22"/>
        <v>0.96</v>
      </c>
      <c r="Y132" s="5">
        <f t="shared" si="22"/>
        <v>0.86</v>
      </c>
      <c r="Z132" s="5">
        <f t="shared" si="22"/>
        <v>0.89</v>
      </c>
      <c r="AA132" s="5">
        <f t="shared" si="22"/>
        <v>0.86</v>
      </c>
      <c r="AB132" s="5">
        <f t="shared" si="22"/>
        <v>0.85</v>
      </c>
      <c r="AC132" s="5">
        <f t="shared" si="22"/>
        <v>0.77</v>
      </c>
      <c r="AD132" s="5">
        <f t="shared" si="22"/>
        <v>0.75</v>
      </c>
      <c r="AE132" s="5">
        <f t="shared" si="22"/>
        <v>0.73</v>
      </c>
      <c r="AF132" s="5">
        <f t="shared" si="22"/>
        <v>0.71</v>
      </c>
      <c r="AG132" s="5">
        <f t="shared" si="22"/>
        <v>0.69</v>
      </c>
      <c r="AH132" s="5">
        <f t="shared" si="17"/>
        <v>0.68</v>
      </c>
      <c r="AI132" s="5">
        <f t="shared" si="17"/>
        <v>0.67</v>
      </c>
      <c r="AJ132" s="5">
        <f t="shared" si="17"/>
        <v>0.66</v>
      </c>
    </row>
    <row r="133" spans="1:36">
      <c r="A133" t="str">
        <f>"electricity_archetype_"&amp;TEXT(ROUND(Table2[[#This Row],[2016]],1),"0.0")</f>
        <v>electricity_archetype_7.4</v>
      </c>
      <c r="B133" s="5">
        <f t="shared" si="13"/>
        <v>7.4</v>
      </c>
      <c r="C133" s="5">
        <f t="shared" si="23"/>
        <v>7.4</v>
      </c>
      <c r="D133" s="5">
        <f t="shared" si="23"/>
        <v>7.4</v>
      </c>
      <c r="E133" s="5">
        <f t="shared" si="23"/>
        <v>7.21</v>
      </c>
      <c r="F133" s="5">
        <f t="shared" si="23"/>
        <v>6.74</v>
      </c>
      <c r="G133" s="5">
        <f t="shared" si="23"/>
        <v>6.88</v>
      </c>
      <c r="H133" s="5">
        <f t="shared" si="23"/>
        <v>6.64</v>
      </c>
      <c r="I133" s="5">
        <f t="shared" si="23"/>
        <v>6.26</v>
      </c>
      <c r="J133" s="5">
        <f t="shared" si="23"/>
        <v>6.05</v>
      </c>
      <c r="K133" s="5">
        <f t="shared" si="23"/>
        <v>5.84</v>
      </c>
      <c r="L133" s="5">
        <f t="shared" si="23"/>
        <v>5.69</v>
      </c>
      <c r="M133" s="5">
        <f t="shared" si="23"/>
        <v>5.67</v>
      </c>
      <c r="N133" s="5">
        <f t="shared" si="23"/>
        <v>5.4</v>
      </c>
      <c r="O133" s="5">
        <f t="shared" si="23"/>
        <v>5.12</v>
      </c>
      <c r="P133" s="5">
        <f t="shared" si="23"/>
        <v>4.89</v>
      </c>
      <c r="Q133" s="5">
        <f t="shared" si="23"/>
        <v>4.03</v>
      </c>
      <c r="R133" s="5">
        <f t="shared" si="23"/>
        <v>2.94</v>
      </c>
      <c r="S133" s="5">
        <f t="shared" si="22"/>
        <v>2.65</v>
      </c>
      <c r="T133" s="5">
        <f t="shared" si="22"/>
        <v>1.84</v>
      </c>
      <c r="U133" s="5">
        <f t="shared" si="22"/>
        <v>1.29</v>
      </c>
      <c r="V133" s="5">
        <f t="shared" si="22"/>
        <v>1.2</v>
      </c>
      <c r="W133" s="5">
        <f t="shared" si="22"/>
        <v>1.06</v>
      </c>
      <c r="X133" s="5">
        <f t="shared" si="22"/>
        <v>0.96</v>
      </c>
      <c r="Y133" s="5">
        <f t="shared" si="22"/>
        <v>0.86</v>
      </c>
      <c r="Z133" s="5">
        <f t="shared" si="22"/>
        <v>0.88</v>
      </c>
      <c r="AA133" s="5">
        <f t="shared" si="22"/>
        <v>0.86</v>
      </c>
      <c r="AB133" s="5">
        <f t="shared" si="22"/>
        <v>0.85</v>
      </c>
      <c r="AC133" s="5">
        <f t="shared" si="22"/>
        <v>0.76</v>
      </c>
      <c r="AD133" s="5">
        <f t="shared" si="22"/>
        <v>0.75</v>
      </c>
      <c r="AE133" s="5">
        <f t="shared" si="22"/>
        <v>0.73</v>
      </c>
      <c r="AF133" s="5">
        <f t="shared" si="22"/>
        <v>0.71</v>
      </c>
      <c r="AG133" s="5">
        <f t="shared" si="22"/>
        <v>0.69</v>
      </c>
      <c r="AH133" s="5">
        <f t="shared" si="17"/>
        <v>0.68</v>
      </c>
      <c r="AI133" s="5">
        <f t="shared" si="17"/>
        <v>0.67</v>
      </c>
      <c r="AJ133" s="5">
        <f t="shared" si="17"/>
        <v>0.66</v>
      </c>
    </row>
    <row r="134" spans="1:36">
      <c r="A134" t="str">
        <f>"electricity_archetype_"&amp;TEXT(ROUND(Table2[[#This Row],[2016]],1),"0.0")</f>
        <v>electricity_archetype_7.3</v>
      </c>
      <c r="B134" s="5">
        <f t="shared" si="13"/>
        <v>7.3</v>
      </c>
      <c r="C134" s="5">
        <f t="shared" si="23"/>
        <v>7.3</v>
      </c>
      <c r="D134" s="5">
        <f t="shared" si="23"/>
        <v>7.3</v>
      </c>
      <c r="E134" s="5">
        <f t="shared" si="23"/>
        <v>7.11</v>
      </c>
      <c r="F134" s="5">
        <f t="shared" si="23"/>
        <v>6.65</v>
      </c>
      <c r="G134" s="5">
        <f t="shared" si="23"/>
        <v>6.78</v>
      </c>
      <c r="H134" s="5">
        <f t="shared" si="23"/>
        <v>6.55</v>
      </c>
      <c r="I134" s="5">
        <f t="shared" si="23"/>
        <v>6.17</v>
      </c>
      <c r="J134" s="5">
        <f t="shared" si="23"/>
        <v>5.97</v>
      </c>
      <c r="K134" s="5">
        <f t="shared" si="23"/>
        <v>5.76</v>
      </c>
      <c r="L134" s="5">
        <f t="shared" si="23"/>
        <v>5.61</v>
      </c>
      <c r="M134" s="5">
        <f t="shared" si="23"/>
        <v>5.6</v>
      </c>
      <c r="N134" s="5">
        <f t="shared" si="23"/>
        <v>5.33</v>
      </c>
      <c r="O134" s="5">
        <f t="shared" si="23"/>
        <v>5.06</v>
      </c>
      <c r="P134" s="5">
        <f t="shared" si="23"/>
        <v>4.83</v>
      </c>
      <c r="Q134" s="5">
        <f t="shared" si="23"/>
        <v>3.98</v>
      </c>
      <c r="R134" s="5">
        <f t="shared" si="23"/>
        <v>2.91</v>
      </c>
      <c r="S134" s="5">
        <f t="shared" si="22"/>
        <v>2.62</v>
      </c>
      <c r="T134" s="5">
        <f t="shared" si="22"/>
        <v>1.82</v>
      </c>
      <c r="U134" s="5">
        <f t="shared" si="22"/>
        <v>1.28</v>
      </c>
      <c r="V134" s="5">
        <f t="shared" si="22"/>
        <v>1.19</v>
      </c>
      <c r="W134" s="5">
        <f t="shared" si="22"/>
        <v>1.06</v>
      </c>
      <c r="X134" s="5">
        <f t="shared" si="22"/>
        <v>0.95</v>
      </c>
      <c r="Y134" s="5">
        <f t="shared" si="22"/>
        <v>0.85</v>
      </c>
      <c r="Z134" s="5">
        <f t="shared" si="22"/>
        <v>0.88</v>
      </c>
      <c r="AA134" s="5">
        <f t="shared" si="22"/>
        <v>0.86</v>
      </c>
      <c r="AB134" s="5">
        <f t="shared" si="22"/>
        <v>0.85</v>
      </c>
      <c r="AC134" s="5">
        <f t="shared" si="22"/>
        <v>0.76</v>
      </c>
      <c r="AD134" s="5">
        <f t="shared" si="22"/>
        <v>0.75</v>
      </c>
      <c r="AE134" s="5">
        <f t="shared" si="22"/>
        <v>0.73</v>
      </c>
      <c r="AF134" s="5">
        <f t="shared" si="22"/>
        <v>0.7</v>
      </c>
      <c r="AG134" s="5">
        <f t="shared" si="22"/>
        <v>0.69</v>
      </c>
      <c r="AH134" s="5">
        <f t="shared" si="17"/>
        <v>0.68</v>
      </c>
      <c r="AI134" s="5">
        <f t="shared" si="17"/>
        <v>0.67</v>
      </c>
      <c r="AJ134" s="5">
        <f t="shared" si="17"/>
        <v>0.66</v>
      </c>
    </row>
    <row r="135" spans="1:36">
      <c r="A135" t="str">
        <f>"electricity_archetype_"&amp;TEXT(ROUND(Table2[[#This Row],[2016]],1),"0.0")</f>
        <v>electricity_archetype_7.2</v>
      </c>
      <c r="B135" s="5">
        <f t="shared" si="13"/>
        <v>7.2</v>
      </c>
      <c r="C135" s="5">
        <f t="shared" si="23"/>
        <v>7.2</v>
      </c>
      <c r="D135" s="5">
        <f t="shared" si="23"/>
        <v>7.2</v>
      </c>
      <c r="E135" s="5">
        <f t="shared" si="23"/>
        <v>7.01</v>
      </c>
      <c r="F135" s="5">
        <f t="shared" si="23"/>
        <v>6.56</v>
      </c>
      <c r="G135" s="5">
        <f t="shared" si="23"/>
        <v>6.69</v>
      </c>
      <c r="H135" s="5">
        <f t="shared" si="23"/>
        <v>6.46</v>
      </c>
      <c r="I135" s="5">
        <f t="shared" si="23"/>
        <v>6.09</v>
      </c>
      <c r="J135" s="5">
        <f t="shared" si="23"/>
        <v>5.89</v>
      </c>
      <c r="K135" s="5">
        <f t="shared" si="23"/>
        <v>5.69</v>
      </c>
      <c r="L135" s="5">
        <f t="shared" si="23"/>
        <v>5.54</v>
      </c>
      <c r="M135" s="5">
        <f t="shared" si="23"/>
        <v>5.52</v>
      </c>
      <c r="N135" s="5">
        <f t="shared" si="23"/>
        <v>5.26</v>
      </c>
      <c r="O135" s="5">
        <f t="shared" si="23"/>
        <v>4.99</v>
      </c>
      <c r="P135" s="5">
        <f t="shared" si="23"/>
        <v>4.76</v>
      </c>
      <c r="Q135" s="5">
        <f t="shared" si="23"/>
        <v>3.93</v>
      </c>
      <c r="R135" s="5">
        <f t="shared" si="23"/>
        <v>2.88</v>
      </c>
      <c r="S135" s="5">
        <f t="shared" si="22"/>
        <v>2.59</v>
      </c>
      <c r="T135" s="5">
        <f t="shared" si="22"/>
        <v>1.81</v>
      </c>
      <c r="U135" s="5">
        <f t="shared" si="22"/>
        <v>1.27</v>
      </c>
      <c r="V135" s="5">
        <f t="shared" si="22"/>
        <v>1.18</v>
      </c>
      <c r="W135" s="5">
        <f t="shared" si="22"/>
        <v>1.05</v>
      </c>
      <c r="X135" s="5">
        <f t="shared" si="22"/>
        <v>0.95</v>
      </c>
      <c r="Y135" s="5">
        <f t="shared" si="22"/>
        <v>0.85</v>
      </c>
      <c r="Z135" s="5">
        <f t="shared" si="22"/>
        <v>0.88</v>
      </c>
      <c r="AA135" s="5">
        <f t="shared" si="22"/>
        <v>0.86</v>
      </c>
      <c r="AB135" s="5">
        <f t="shared" si="22"/>
        <v>0.84</v>
      </c>
      <c r="AC135" s="5">
        <f t="shared" si="22"/>
        <v>0.76</v>
      </c>
      <c r="AD135" s="5">
        <f t="shared" si="22"/>
        <v>0.75</v>
      </c>
      <c r="AE135" s="5">
        <f t="shared" si="22"/>
        <v>0.73</v>
      </c>
      <c r="AF135" s="5">
        <f t="shared" si="22"/>
        <v>0.7</v>
      </c>
      <c r="AG135" s="5">
        <f t="shared" si="22"/>
        <v>0.69</v>
      </c>
      <c r="AH135" s="5">
        <f t="shared" si="17"/>
        <v>0.68</v>
      </c>
      <c r="AI135" s="5">
        <f t="shared" si="17"/>
        <v>0.67</v>
      </c>
      <c r="AJ135" s="5">
        <f t="shared" si="17"/>
        <v>0.66</v>
      </c>
    </row>
    <row r="136" spans="1:36">
      <c r="A136" t="str">
        <f>"electricity_archetype_"&amp;TEXT(ROUND(Table2[[#This Row],[2016]],1),"0.0")</f>
        <v>electricity_archetype_7.1</v>
      </c>
      <c r="B136" s="5">
        <f t="shared" si="13"/>
        <v>7.1</v>
      </c>
      <c r="C136" s="5">
        <f t="shared" si="23"/>
        <v>7.1</v>
      </c>
      <c r="D136" s="5">
        <f t="shared" si="23"/>
        <v>7.1</v>
      </c>
      <c r="E136" s="5">
        <f t="shared" si="23"/>
        <v>6.92</v>
      </c>
      <c r="F136" s="5">
        <f t="shared" si="23"/>
        <v>6.47</v>
      </c>
      <c r="G136" s="5">
        <f t="shared" si="23"/>
        <v>6.6</v>
      </c>
      <c r="H136" s="5">
        <f t="shared" si="23"/>
        <v>6.37</v>
      </c>
      <c r="I136" s="5">
        <f t="shared" si="23"/>
        <v>6.01</v>
      </c>
      <c r="J136" s="5">
        <f t="shared" si="23"/>
        <v>5.81</v>
      </c>
      <c r="K136" s="5">
        <f t="shared" si="23"/>
        <v>5.61</v>
      </c>
      <c r="L136" s="5">
        <f t="shared" si="23"/>
        <v>5.47</v>
      </c>
      <c r="M136" s="5">
        <f t="shared" si="23"/>
        <v>5.45</v>
      </c>
      <c r="N136" s="5">
        <f t="shared" si="23"/>
        <v>5.19</v>
      </c>
      <c r="O136" s="5">
        <f t="shared" si="23"/>
        <v>4.93</v>
      </c>
      <c r="P136" s="5">
        <f t="shared" si="23"/>
        <v>4.7</v>
      </c>
      <c r="Q136" s="5">
        <f t="shared" si="23"/>
        <v>3.88</v>
      </c>
      <c r="R136" s="5">
        <f t="shared" si="23"/>
        <v>2.84</v>
      </c>
      <c r="S136" s="5">
        <f t="shared" si="22"/>
        <v>2.56</v>
      </c>
      <c r="T136" s="5">
        <f t="shared" si="22"/>
        <v>1.79</v>
      </c>
      <c r="U136" s="5">
        <f t="shared" si="22"/>
        <v>1.27</v>
      </c>
      <c r="V136" s="5">
        <f t="shared" si="22"/>
        <v>1.17</v>
      </c>
      <c r="W136" s="5">
        <f t="shared" si="22"/>
        <v>1.04</v>
      </c>
      <c r="X136" s="5">
        <f t="shared" si="22"/>
        <v>0.94</v>
      </c>
      <c r="Y136" s="5">
        <f t="shared" si="22"/>
        <v>0.85</v>
      </c>
      <c r="Z136" s="5">
        <f t="shared" si="22"/>
        <v>0.87</v>
      </c>
      <c r="AA136" s="5">
        <f t="shared" si="22"/>
        <v>0.85</v>
      </c>
      <c r="AB136" s="5">
        <f t="shared" si="22"/>
        <v>0.84</v>
      </c>
      <c r="AC136" s="5">
        <f t="shared" si="22"/>
        <v>0.76</v>
      </c>
      <c r="AD136" s="5">
        <f t="shared" si="22"/>
        <v>0.75</v>
      </c>
      <c r="AE136" s="5">
        <f t="shared" si="22"/>
        <v>0.73</v>
      </c>
      <c r="AF136" s="5">
        <f t="shared" si="22"/>
        <v>0.7</v>
      </c>
      <c r="AG136" s="5">
        <f t="shared" si="22"/>
        <v>0.69</v>
      </c>
      <c r="AH136" s="5">
        <f t="shared" si="17"/>
        <v>0.68</v>
      </c>
      <c r="AI136" s="5">
        <f t="shared" si="17"/>
        <v>0.67</v>
      </c>
      <c r="AJ136" s="5">
        <f t="shared" si="17"/>
        <v>0.66</v>
      </c>
    </row>
    <row r="137" spans="1:36">
      <c r="A137" t="str">
        <f>"electricity_archetype_"&amp;TEXT(ROUND(Table2[[#This Row],[2016]],1),"0.0")</f>
        <v>electricity_archetype_7.0</v>
      </c>
      <c r="B137" s="5">
        <f t="shared" ref="B137:B200" si="24">MROUND(B136-0.1,0.1)</f>
        <v>7</v>
      </c>
      <c r="C137" s="5">
        <f t="shared" si="23"/>
        <v>7</v>
      </c>
      <c r="D137" s="5">
        <f t="shared" si="23"/>
        <v>7</v>
      </c>
      <c r="E137" s="5">
        <f t="shared" si="23"/>
        <v>6.82</v>
      </c>
      <c r="F137" s="5">
        <f t="shared" si="23"/>
        <v>6.38</v>
      </c>
      <c r="G137" s="5">
        <f t="shared" si="23"/>
        <v>6.51</v>
      </c>
      <c r="H137" s="5">
        <f t="shared" si="23"/>
        <v>6.28</v>
      </c>
      <c r="I137" s="5">
        <f t="shared" si="23"/>
        <v>5.92</v>
      </c>
      <c r="J137" s="5">
        <f t="shared" si="23"/>
        <v>5.73</v>
      </c>
      <c r="K137" s="5">
        <f t="shared" si="23"/>
        <v>5.53</v>
      </c>
      <c r="L137" s="5">
        <f t="shared" si="23"/>
        <v>5.39</v>
      </c>
      <c r="M137" s="5">
        <f t="shared" si="23"/>
        <v>5.37</v>
      </c>
      <c r="N137" s="5">
        <f t="shared" si="23"/>
        <v>5.12</v>
      </c>
      <c r="O137" s="5">
        <f t="shared" si="23"/>
        <v>4.86</v>
      </c>
      <c r="P137" s="5">
        <f t="shared" si="23"/>
        <v>4.64</v>
      </c>
      <c r="Q137" s="5">
        <f t="shared" si="23"/>
        <v>3.83</v>
      </c>
      <c r="R137" s="5">
        <f t="shared" si="23"/>
        <v>2.81</v>
      </c>
      <c r="S137" s="5">
        <f t="shared" si="22"/>
        <v>2.53</v>
      </c>
      <c r="T137" s="5">
        <f t="shared" si="22"/>
        <v>1.77</v>
      </c>
      <c r="U137" s="5">
        <f t="shared" si="22"/>
        <v>1.26</v>
      </c>
      <c r="V137" s="5">
        <f t="shared" si="22"/>
        <v>1.17</v>
      </c>
      <c r="W137" s="5">
        <f t="shared" si="22"/>
        <v>1.04</v>
      </c>
      <c r="X137" s="5">
        <f t="shared" si="22"/>
        <v>0.94</v>
      </c>
      <c r="Y137" s="5">
        <f t="shared" si="22"/>
        <v>0.85</v>
      </c>
      <c r="Z137" s="5">
        <f t="shared" si="22"/>
        <v>0.87</v>
      </c>
      <c r="AA137" s="5">
        <f t="shared" si="22"/>
        <v>0.85</v>
      </c>
      <c r="AB137" s="5">
        <f t="shared" si="22"/>
        <v>0.84</v>
      </c>
      <c r="AC137" s="5">
        <f t="shared" si="22"/>
        <v>0.76</v>
      </c>
      <c r="AD137" s="5">
        <f t="shared" si="22"/>
        <v>0.74</v>
      </c>
      <c r="AE137" s="5">
        <f t="shared" si="22"/>
        <v>0.73</v>
      </c>
      <c r="AF137" s="5">
        <f t="shared" si="22"/>
        <v>0.7</v>
      </c>
      <c r="AG137" s="5">
        <f t="shared" si="22"/>
        <v>0.69</v>
      </c>
      <c r="AH137" s="5">
        <f t="shared" si="17"/>
        <v>0.68</v>
      </c>
      <c r="AI137" s="5">
        <f t="shared" si="17"/>
        <v>0.67</v>
      </c>
      <c r="AJ137" s="5">
        <f t="shared" si="17"/>
        <v>0.66</v>
      </c>
    </row>
    <row r="138" spans="1:36">
      <c r="A138" t="str">
        <f>"electricity_archetype_"&amp;TEXT(ROUND(Table2[[#This Row],[2016]],1),"0.0")</f>
        <v>electricity_archetype_6.9</v>
      </c>
      <c r="B138" s="5">
        <f t="shared" si="24"/>
        <v>6.9</v>
      </c>
      <c r="C138" s="5">
        <f t="shared" si="23"/>
        <v>6.9</v>
      </c>
      <c r="D138" s="5">
        <f t="shared" si="23"/>
        <v>6.9</v>
      </c>
      <c r="E138" s="5">
        <f t="shared" si="23"/>
        <v>6.72</v>
      </c>
      <c r="F138" s="5">
        <f t="shared" si="23"/>
        <v>6.29</v>
      </c>
      <c r="G138" s="5">
        <f t="shared" si="23"/>
        <v>6.41</v>
      </c>
      <c r="H138" s="5">
        <f t="shared" si="23"/>
        <v>6.19</v>
      </c>
      <c r="I138" s="5">
        <f t="shared" si="23"/>
        <v>5.84</v>
      </c>
      <c r="J138" s="5">
        <f t="shared" si="23"/>
        <v>5.65</v>
      </c>
      <c r="K138" s="5">
        <f t="shared" si="23"/>
        <v>5.46</v>
      </c>
      <c r="L138" s="5">
        <f t="shared" si="23"/>
        <v>5.32</v>
      </c>
      <c r="M138" s="5">
        <f t="shared" si="23"/>
        <v>5.3</v>
      </c>
      <c r="N138" s="5">
        <f t="shared" si="23"/>
        <v>5.05</v>
      </c>
      <c r="O138" s="5">
        <f t="shared" si="23"/>
        <v>4.79</v>
      </c>
      <c r="P138" s="5">
        <f t="shared" si="23"/>
        <v>4.57</v>
      </c>
      <c r="Q138" s="5">
        <f t="shared" si="23"/>
        <v>3.78</v>
      </c>
      <c r="R138" s="5">
        <f t="shared" si="23"/>
        <v>2.77</v>
      </c>
      <c r="S138" s="5">
        <f t="shared" si="22"/>
        <v>2.5</v>
      </c>
      <c r="T138" s="5">
        <f t="shared" si="22"/>
        <v>1.75</v>
      </c>
      <c r="U138" s="5">
        <f t="shared" si="22"/>
        <v>1.25</v>
      </c>
      <c r="V138" s="5">
        <f t="shared" si="22"/>
        <v>1.16</v>
      </c>
      <c r="W138" s="5">
        <f t="shared" si="22"/>
        <v>1.03</v>
      </c>
      <c r="X138" s="5">
        <f t="shared" si="22"/>
        <v>0.93</v>
      </c>
      <c r="Y138" s="5">
        <f t="shared" si="22"/>
        <v>0.84</v>
      </c>
      <c r="Z138" s="5">
        <f t="shared" si="22"/>
        <v>0.87</v>
      </c>
      <c r="AA138" s="5">
        <f t="shared" si="22"/>
        <v>0.85</v>
      </c>
      <c r="AB138" s="5">
        <f t="shared" si="22"/>
        <v>0.83</v>
      </c>
      <c r="AC138" s="5">
        <f t="shared" si="22"/>
        <v>0.76</v>
      </c>
      <c r="AD138" s="5">
        <f t="shared" si="22"/>
        <v>0.74</v>
      </c>
      <c r="AE138" s="5">
        <f t="shared" si="22"/>
        <v>0.73</v>
      </c>
      <c r="AF138" s="5">
        <f t="shared" si="22"/>
        <v>0.7</v>
      </c>
      <c r="AG138" s="5">
        <f t="shared" si="22"/>
        <v>0.69</v>
      </c>
      <c r="AH138" s="5">
        <f t="shared" si="17"/>
        <v>0.68</v>
      </c>
      <c r="AI138" s="5">
        <f t="shared" si="17"/>
        <v>0.67</v>
      </c>
      <c r="AJ138" s="5">
        <f t="shared" si="17"/>
        <v>0.66</v>
      </c>
    </row>
    <row r="139" spans="1:36">
      <c r="A139" t="str">
        <f>"electricity_archetype_"&amp;TEXT(ROUND(Table2[[#This Row],[2016]],1),"0.0")</f>
        <v>electricity_archetype_6.8</v>
      </c>
      <c r="B139" s="5">
        <f t="shared" si="24"/>
        <v>6.8</v>
      </c>
      <c r="C139" s="5">
        <f t="shared" si="23"/>
        <v>6.8</v>
      </c>
      <c r="D139" s="5">
        <f t="shared" si="23"/>
        <v>6.8</v>
      </c>
      <c r="E139" s="5">
        <f t="shared" si="23"/>
        <v>6.62</v>
      </c>
      <c r="F139" s="5">
        <f t="shared" si="23"/>
        <v>6.2</v>
      </c>
      <c r="G139" s="5">
        <f t="shared" si="23"/>
        <v>6.32</v>
      </c>
      <c r="H139" s="5">
        <f t="shared" si="23"/>
        <v>6.11</v>
      </c>
      <c r="I139" s="5">
        <f t="shared" si="23"/>
        <v>5.76</v>
      </c>
      <c r="J139" s="5">
        <f t="shared" si="23"/>
        <v>5.57</v>
      </c>
      <c r="K139" s="5">
        <f t="shared" si="23"/>
        <v>5.38</v>
      </c>
      <c r="L139" s="5">
        <f t="shared" si="23"/>
        <v>5.24</v>
      </c>
      <c r="M139" s="5">
        <f t="shared" si="23"/>
        <v>5.23</v>
      </c>
      <c r="N139" s="5">
        <f t="shared" si="23"/>
        <v>4.98</v>
      </c>
      <c r="O139" s="5">
        <f t="shared" si="23"/>
        <v>4.73</v>
      </c>
      <c r="P139" s="5">
        <f t="shared" si="23"/>
        <v>4.51</v>
      </c>
      <c r="Q139" s="5">
        <f t="shared" si="23"/>
        <v>3.73</v>
      </c>
      <c r="R139" s="5">
        <f t="shared" si="23"/>
        <v>2.74</v>
      </c>
      <c r="S139" s="5">
        <f t="shared" si="22"/>
        <v>2.47</v>
      </c>
      <c r="T139" s="5">
        <f t="shared" si="22"/>
        <v>1.74</v>
      </c>
      <c r="U139" s="5">
        <f t="shared" si="22"/>
        <v>1.24</v>
      </c>
      <c r="V139" s="5">
        <f t="shared" si="22"/>
        <v>1.15</v>
      </c>
      <c r="W139" s="5">
        <f t="shared" si="22"/>
        <v>1.03</v>
      </c>
      <c r="X139" s="5">
        <f t="shared" si="22"/>
        <v>0.93</v>
      </c>
      <c r="Y139" s="5">
        <f t="shared" si="22"/>
        <v>0.84</v>
      </c>
      <c r="Z139" s="5">
        <f t="shared" si="22"/>
        <v>0.86</v>
      </c>
      <c r="AA139" s="5">
        <f t="shared" si="22"/>
        <v>0.84</v>
      </c>
      <c r="AB139" s="5">
        <f t="shared" si="22"/>
        <v>0.83</v>
      </c>
      <c r="AC139" s="5">
        <f t="shared" si="22"/>
        <v>0.75</v>
      </c>
      <c r="AD139" s="5">
        <f t="shared" si="22"/>
        <v>0.74</v>
      </c>
      <c r="AE139" s="5">
        <f t="shared" si="22"/>
        <v>0.73</v>
      </c>
      <c r="AF139" s="5">
        <f t="shared" si="22"/>
        <v>0.7</v>
      </c>
      <c r="AG139" s="5">
        <f t="shared" si="22"/>
        <v>0.69</v>
      </c>
      <c r="AH139" s="5">
        <f t="shared" si="17"/>
        <v>0.68</v>
      </c>
      <c r="AI139" s="5">
        <f t="shared" si="17"/>
        <v>0.67</v>
      </c>
      <c r="AJ139" s="5">
        <f t="shared" si="17"/>
        <v>0.66</v>
      </c>
    </row>
    <row r="140" spans="1:36">
      <c r="A140" t="str">
        <f>"electricity_archetype_"&amp;TEXT(ROUND(Table2[[#This Row],[2016]],1),"0.0")</f>
        <v>electricity_archetype_6.7</v>
      </c>
      <c r="B140" s="5">
        <f t="shared" si="24"/>
        <v>6.7</v>
      </c>
      <c r="C140" s="5">
        <f t="shared" si="23"/>
        <v>6.7</v>
      </c>
      <c r="D140" s="5">
        <f t="shared" si="23"/>
        <v>6.7</v>
      </c>
      <c r="E140" s="5">
        <f t="shared" si="23"/>
        <v>6.53</v>
      </c>
      <c r="F140" s="5">
        <f t="shared" si="23"/>
        <v>6.11</v>
      </c>
      <c r="G140" s="5">
        <f t="shared" si="23"/>
        <v>6.23</v>
      </c>
      <c r="H140" s="5">
        <f t="shared" si="23"/>
        <v>6.02</v>
      </c>
      <c r="I140" s="5">
        <f t="shared" si="23"/>
        <v>5.67</v>
      </c>
      <c r="J140" s="5">
        <f t="shared" si="23"/>
        <v>5.49</v>
      </c>
      <c r="K140" s="5">
        <f t="shared" si="23"/>
        <v>5.3</v>
      </c>
      <c r="L140" s="5">
        <f t="shared" si="23"/>
        <v>5.17</v>
      </c>
      <c r="M140" s="5">
        <f t="shared" si="23"/>
        <v>5.15</v>
      </c>
      <c r="N140" s="5">
        <f t="shared" si="23"/>
        <v>4.91</v>
      </c>
      <c r="O140" s="5">
        <f t="shared" si="23"/>
        <v>4.66</v>
      </c>
      <c r="P140" s="5">
        <f t="shared" si="23"/>
        <v>4.45</v>
      </c>
      <c r="Q140" s="5">
        <f t="shared" si="23"/>
        <v>3.68</v>
      </c>
      <c r="R140" s="5">
        <f t="shared" si="23"/>
        <v>2.71</v>
      </c>
      <c r="S140" s="5">
        <f t="shared" si="22"/>
        <v>2.44</v>
      </c>
      <c r="T140" s="5">
        <f t="shared" si="22"/>
        <v>1.72</v>
      </c>
      <c r="U140" s="5">
        <f t="shared" si="22"/>
        <v>1.23</v>
      </c>
      <c r="V140" s="5">
        <f t="shared" si="22"/>
        <v>1.14</v>
      </c>
      <c r="W140" s="5">
        <f t="shared" si="22"/>
        <v>1.02</v>
      </c>
      <c r="X140" s="5">
        <f t="shared" si="22"/>
        <v>0.93</v>
      </c>
      <c r="Y140" s="5">
        <f t="shared" si="22"/>
        <v>0.84</v>
      </c>
      <c r="Z140" s="5">
        <f t="shared" si="22"/>
        <v>0.86</v>
      </c>
      <c r="AA140" s="5">
        <f t="shared" si="22"/>
        <v>0.84</v>
      </c>
      <c r="AB140" s="5">
        <f t="shared" si="22"/>
        <v>0.83</v>
      </c>
      <c r="AC140" s="5">
        <f t="shared" si="22"/>
        <v>0.75</v>
      </c>
      <c r="AD140" s="5">
        <f t="shared" si="22"/>
        <v>0.74</v>
      </c>
      <c r="AE140" s="5">
        <f t="shared" si="22"/>
        <v>0.73</v>
      </c>
      <c r="AF140" s="5">
        <f t="shared" si="22"/>
        <v>0.7</v>
      </c>
      <c r="AG140" s="5">
        <f t="shared" si="22"/>
        <v>0.69</v>
      </c>
      <c r="AH140" s="5">
        <f t="shared" si="17"/>
        <v>0.68</v>
      </c>
      <c r="AI140" s="5">
        <f t="shared" si="17"/>
        <v>0.67</v>
      </c>
      <c r="AJ140" s="5">
        <f t="shared" si="17"/>
        <v>0.66</v>
      </c>
    </row>
    <row r="141" spans="1:36">
      <c r="A141" t="str">
        <f>"electricity_archetype_"&amp;TEXT(ROUND(Table2[[#This Row],[2016]],1),"0.0")</f>
        <v>electricity_archetype_6.6</v>
      </c>
      <c r="B141" s="5">
        <f t="shared" si="24"/>
        <v>6.6</v>
      </c>
      <c r="C141" s="5">
        <f t="shared" si="23"/>
        <v>6.6</v>
      </c>
      <c r="D141" s="5">
        <f t="shared" si="23"/>
        <v>6.6</v>
      </c>
      <c r="E141" s="5">
        <f t="shared" si="23"/>
        <v>6.43</v>
      </c>
      <c r="F141" s="5">
        <f t="shared" si="23"/>
        <v>6.02</v>
      </c>
      <c r="G141" s="5">
        <f t="shared" si="23"/>
        <v>6.14</v>
      </c>
      <c r="H141" s="5">
        <f t="shared" si="23"/>
        <v>5.93</v>
      </c>
      <c r="I141" s="5">
        <f t="shared" si="23"/>
        <v>5.59</v>
      </c>
      <c r="J141" s="5">
        <f t="shared" si="23"/>
        <v>5.41</v>
      </c>
      <c r="K141" s="5">
        <f t="shared" si="23"/>
        <v>5.22</v>
      </c>
      <c r="L141" s="5">
        <f t="shared" si="23"/>
        <v>5.09</v>
      </c>
      <c r="M141" s="5">
        <f t="shared" si="23"/>
        <v>5.08</v>
      </c>
      <c r="N141" s="5">
        <f t="shared" si="23"/>
        <v>4.84</v>
      </c>
      <c r="O141" s="5">
        <f t="shared" si="23"/>
        <v>4.59</v>
      </c>
      <c r="P141" s="5">
        <f t="shared" si="23"/>
        <v>4.39</v>
      </c>
      <c r="Q141" s="5">
        <f t="shared" si="23"/>
        <v>3.63</v>
      </c>
      <c r="R141" s="5">
        <f t="shared" si="23"/>
        <v>2.67</v>
      </c>
      <c r="S141" s="5">
        <f t="shared" si="22"/>
        <v>2.41</v>
      </c>
      <c r="T141" s="5">
        <f t="shared" si="22"/>
        <v>1.7</v>
      </c>
      <c r="U141" s="5">
        <f t="shared" si="22"/>
        <v>1.22</v>
      </c>
      <c r="V141" s="5">
        <f t="shared" si="22"/>
        <v>1.13</v>
      </c>
      <c r="W141" s="5">
        <f t="shared" si="22"/>
        <v>1.01</v>
      </c>
      <c r="X141" s="5">
        <f t="shared" si="22"/>
        <v>0.92</v>
      </c>
      <c r="Y141" s="5">
        <f t="shared" si="22"/>
        <v>0.83</v>
      </c>
      <c r="Z141" s="5">
        <f t="shared" si="22"/>
        <v>0.86</v>
      </c>
      <c r="AA141" s="5">
        <f t="shared" si="22"/>
        <v>0.84</v>
      </c>
      <c r="AB141" s="5">
        <f t="shared" si="22"/>
        <v>0.83</v>
      </c>
      <c r="AC141" s="5">
        <f t="shared" si="22"/>
        <v>0.75</v>
      </c>
      <c r="AD141" s="5">
        <f t="shared" si="22"/>
        <v>0.74</v>
      </c>
      <c r="AE141" s="5">
        <f t="shared" si="22"/>
        <v>0.72</v>
      </c>
      <c r="AF141" s="5">
        <f t="shared" si="22"/>
        <v>0.7</v>
      </c>
      <c r="AG141" s="5">
        <f t="shared" si="22"/>
        <v>0.69</v>
      </c>
      <c r="AH141" s="5">
        <f t="shared" si="17"/>
        <v>0.68</v>
      </c>
      <c r="AI141" s="5">
        <f t="shared" si="17"/>
        <v>0.67</v>
      </c>
      <c r="AJ141" s="5">
        <f t="shared" si="17"/>
        <v>0.66</v>
      </c>
    </row>
    <row r="142" spans="1:36">
      <c r="A142" t="str">
        <f>"electricity_archetype_"&amp;TEXT(ROUND(Table2[[#This Row],[2016]],1),"0.0")</f>
        <v>electricity_archetype_6.5</v>
      </c>
      <c r="B142" s="5">
        <f t="shared" si="24"/>
        <v>6.5</v>
      </c>
      <c r="C142" s="5">
        <f t="shared" si="23"/>
        <v>6.5</v>
      </c>
      <c r="D142" s="5">
        <f t="shared" si="23"/>
        <v>6.5</v>
      </c>
      <c r="E142" s="5">
        <f t="shared" si="23"/>
        <v>6.33</v>
      </c>
      <c r="F142" s="5">
        <f t="shared" si="23"/>
        <v>5.93</v>
      </c>
      <c r="G142" s="5">
        <f t="shared" si="23"/>
        <v>6.05</v>
      </c>
      <c r="H142" s="5">
        <f t="shared" si="23"/>
        <v>5.84</v>
      </c>
      <c r="I142" s="5">
        <f t="shared" si="23"/>
        <v>5.51</v>
      </c>
      <c r="J142" s="5">
        <f t="shared" si="23"/>
        <v>5.33</v>
      </c>
      <c r="K142" s="5">
        <f t="shared" si="23"/>
        <v>5.15</v>
      </c>
      <c r="L142" s="5">
        <f t="shared" si="23"/>
        <v>5.02</v>
      </c>
      <c r="M142" s="5">
        <f t="shared" si="23"/>
        <v>5</v>
      </c>
      <c r="N142" s="5">
        <f t="shared" si="23"/>
        <v>4.77</v>
      </c>
      <c r="O142" s="5">
        <f t="shared" si="23"/>
        <v>4.53</v>
      </c>
      <c r="P142" s="5">
        <f t="shared" si="23"/>
        <v>4.32</v>
      </c>
      <c r="Q142" s="5">
        <f t="shared" si="23"/>
        <v>3.58</v>
      </c>
      <c r="R142" s="5">
        <f t="shared" ref="R142:AG157" si="25">MROUND((($B142-$AJ$2)*((R$2-$AJ$2)/($B$2-$AJ$2)))+$AJ$2,0.01)</f>
        <v>2.64</v>
      </c>
      <c r="S142" s="5">
        <f t="shared" si="25"/>
        <v>2.38</v>
      </c>
      <c r="T142" s="5">
        <f t="shared" si="25"/>
        <v>1.68</v>
      </c>
      <c r="U142" s="5">
        <f t="shared" si="25"/>
        <v>1.21</v>
      </c>
      <c r="V142" s="5">
        <f t="shared" si="25"/>
        <v>1.13</v>
      </c>
      <c r="W142" s="5">
        <f t="shared" si="25"/>
        <v>1.01</v>
      </c>
      <c r="X142" s="5">
        <f t="shared" si="25"/>
        <v>0.92</v>
      </c>
      <c r="Y142" s="5">
        <f t="shared" si="25"/>
        <v>0.83</v>
      </c>
      <c r="Z142" s="5">
        <f t="shared" si="25"/>
        <v>0.85</v>
      </c>
      <c r="AA142" s="5">
        <f t="shared" si="25"/>
        <v>0.83</v>
      </c>
      <c r="AB142" s="5">
        <f t="shared" si="25"/>
        <v>0.82</v>
      </c>
      <c r="AC142" s="5">
        <f t="shared" si="25"/>
        <v>0.75</v>
      </c>
      <c r="AD142" s="5">
        <f t="shared" si="25"/>
        <v>0.74</v>
      </c>
      <c r="AE142" s="5">
        <f t="shared" si="25"/>
        <v>0.72</v>
      </c>
      <c r="AF142" s="5">
        <f t="shared" si="25"/>
        <v>0.7</v>
      </c>
      <c r="AG142" s="5">
        <f t="shared" si="25"/>
        <v>0.69</v>
      </c>
      <c r="AH142" s="5">
        <f t="shared" si="17"/>
        <v>0.68</v>
      </c>
      <c r="AI142" s="5">
        <f t="shared" si="17"/>
        <v>0.67</v>
      </c>
      <c r="AJ142" s="5">
        <f t="shared" si="17"/>
        <v>0.66</v>
      </c>
    </row>
    <row r="143" spans="1:36">
      <c r="A143" t="str">
        <f>"electricity_archetype_"&amp;TEXT(ROUND(Table2[[#This Row],[2016]],1),"0.0")</f>
        <v>electricity_archetype_6.4</v>
      </c>
      <c r="B143" s="5">
        <f t="shared" si="24"/>
        <v>6.4</v>
      </c>
      <c r="C143" s="5">
        <f t="shared" ref="C143:R158" si="26">MROUND((($B143-$AJ$2)*((C$2-$AJ$2)/($B$2-$AJ$2)))+$AJ$2,0.01)</f>
        <v>6.4</v>
      </c>
      <c r="D143" s="5">
        <f t="shared" si="26"/>
        <v>6.4</v>
      </c>
      <c r="E143" s="5">
        <f t="shared" si="26"/>
        <v>6.24</v>
      </c>
      <c r="F143" s="5">
        <f t="shared" si="26"/>
        <v>5.84</v>
      </c>
      <c r="G143" s="5">
        <f t="shared" si="26"/>
        <v>5.95</v>
      </c>
      <c r="H143" s="5">
        <f t="shared" si="26"/>
        <v>5.75</v>
      </c>
      <c r="I143" s="5">
        <f t="shared" si="26"/>
        <v>5.43</v>
      </c>
      <c r="J143" s="5">
        <f t="shared" si="26"/>
        <v>5.25</v>
      </c>
      <c r="K143" s="5">
        <f t="shared" si="26"/>
        <v>5.07</v>
      </c>
      <c r="L143" s="5">
        <f t="shared" si="26"/>
        <v>4.94</v>
      </c>
      <c r="M143" s="5">
        <f t="shared" si="26"/>
        <v>4.93</v>
      </c>
      <c r="N143" s="5">
        <f t="shared" si="26"/>
        <v>4.7</v>
      </c>
      <c r="O143" s="5">
        <f t="shared" si="26"/>
        <v>4.46</v>
      </c>
      <c r="P143" s="5">
        <f t="shared" si="26"/>
        <v>4.26</v>
      </c>
      <c r="Q143" s="5">
        <f t="shared" si="26"/>
        <v>3.53</v>
      </c>
      <c r="R143" s="5">
        <f t="shared" si="26"/>
        <v>2.6</v>
      </c>
      <c r="S143" s="5">
        <f t="shared" si="25"/>
        <v>2.35</v>
      </c>
      <c r="T143" s="5">
        <f t="shared" si="25"/>
        <v>1.67</v>
      </c>
      <c r="U143" s="5">
        <f t="shared" si="25"/>
        <v>1.2</v>
      </c>
      <c r="V143" s="5">
        <f t="shared" si="25"/>
        <v>1.12</v>
      </c>
      <c r="W143" s="5">
        <f t="shared" si="25"/>
        <v>1</v>
      </c>
      <c r="X143" s="5">
        <f t="shared" si="25"/>
        <v>0.91</v>
      </c>
      <c r="Y143" s="5">
        <f t="shared" si="25"/>
        <v>0.83</v>
      </c>
      <c r="Z143" s="5">
        <f t="shared" si="25"/>
        <v>0.85</v>
      </c>
      <c r="AA143" s="5">
        <f t="shared" si="25"/>
        <v>0.83</v>
      </c>
      <c r="AB143" s="5">
        <f t="shared" si="25"/>
        <v>0.82</v>
      </c>
      <c r="AC143" s="5">
        <f t="shared" si="25"/>
        <v>0.75</v>
      </c>
      <c r="AD143" s="5">
        <f t="shared" si="25"/>
        <v>0.74</v>
      </c>
      <c r="AE143" s="5">
        <f t="shared" si="25"/>
        <v>0.72</v>
      </c>
      <c r="AF143" s="5">
        <f t="shared" si="25"/>
        <v>0.7</v>
      </c>
      <c r="AG143" s="5">
        <f t="shared" si="25"/>
        <v>0.69</v>
      </c>
      <c r="AH143" s="5">
        <f t="shared" si="17"/>
        <v>0.68</v>
      </c>
      <c r="AI143" s="5">
        <f t="shared" si="17"/>
        <v>0.67</v>
      </c>
      <c r="AJ143" s="5">
        <f t="shared" si="17"/>
        <v>0.66</v>
      </c>
    </row>
    <row r="144" spans="1:36">
      <c r="A144" t="str">
        <f>"electricity_archetype_"&amp;TEXT(ROUND(Table2[[#This Row],[2016]],1),"0.0")</f>
        <v>electricity_archetype_6.3</v>
      </c>
      <c r="B144" s="5">
        <f t="shared" si="24"/>
        <v>6.3</v>
      </c>
      <c r="C144" s="5">
        <f t="shared" si="26"/>
        <v>6.3</v>
      </c>
      <c r="D144" s="5">
        <f t="shared" si="26"/>
        <v>6.3</v>
      </c>
      <c r="E144" s="5">
        <f t="shared" si="26"/>
        <v>6.14</v>
      </c>
      <c r="F144" s="5">
        <f t="shared" si="26"/>
        <v>5.75</v>
      </c>
      <c r="G144" s="5">
        <f t="shared" si="26"/>
        <v>5.86</v>
      </c>
      <c r="H144" s="5">
        <f t="shared" si="26"/>
        <v>5.66</v>
      </c>
      <c r="I144" s="5">
        <f t="shared" si="26"/>
        <v>5.34</v>
      </c>
      <c r="J144" s="5">
        <f t="shared" si="26"/>
        <v>5.17</v>
      </c>
      <c r="K144" s="5">
        <f t="shared" si="26"/>
        <v>4.99</v>
      </c>
      <c r="L144" s="5">
        <f t="shared" si="26"/>
        <v>4.87</v>
      </c>
      <c r="M144" s="5">
        <f t="shared" si="26"/>
        <v>4.85</v>
      </c>
      <c r="N144" s="5">
        <f t="shared" si="26"/>
        <v>4.63</v>
      </c>
      <c r="O144" s="5">
        <f t="shared" si="26"/>
        <v>4.4</v>
      </c>
      <c r="P144" s="5">
        <f t="shared" si="26"/>
        <v>4.2</v>
      </c>
      <c r="Q144" s="5">
        <f t="shared" si="26"/>
        <v>3.48</v>
      </c>
      <c r="R144" s="5">
        <f t="shared" si="26"/>
        <v>2.57</v>
      </c>
      <c r="S144" s="5">
        <f t="shared" si="25"/>
        <v>2.32</v>
      </c>
      <c r="T144" s="5">
        <f t="shared" si="25"/>
        <v>1.65</v>
      </c>
      <c r="U144" s="5">
        <f t="shared" si="25"/>
        <v>1.19</v>
      </c>
      <c r="V144" s="5">
        <f t="shared" si="25"/>
        <v>1.11</v>
      </c>
      <c r="W144" s="5">
        <f t="shared" si="25"/>
        <v>1</v>
      </c>
      <c r="X144" s="5">
        <f t="shared" si="25"/>
        <v>0.91</v>
      </c>
      <c r="Y144" s="5">
        <f t="shared" si="25"/>
        <v>0.82</v>
      </c>
      <c r="Z144" s="5">
        <f t="shared" si="25"/>
        <v>0.85</v>
      </c>
      <c r="AA144" s="5">
        <f t="shared" si="25"/>
        <v>0.83</v>
      </c>
      <c r="AB144" s="5">
        <f t="shared" si="25"/>
        <v>0.82</v>
      </c>
      <c r="AC144" s="5">
        <f t="shared" si="25"/>
        <v>0.75</v>
      </c>
      <c r="AD144" s="5">
        <f t="shared" si="25"/>
        <v>0.73</v>
      </c>
      <c r="AE144" s="5">
        <f t="shared" si="25"/>
        <v>0.72</v>
      </c>
      <c r="AF144" s="5">
        <f t="shared" si="25"/>
        <v>0.7</v>
      </c>
      <c r="AG144" s="5">
        <f t="shared" si="25"/>
        <v>0.69</v>
      </c>
      <c r="AH144" s="5">
        <f t="shared" si="17"/>
        <v>0.68</v>
      </c>
      <c r="AI144" s="5">
        <f t="shared" si="17"/>
        <v>0.67</v>
      </c>
      <c r="AJ144" s="5">
        <f t="shared" si="17"/>
        <v>0.66</v>
      </c>
    </row>
    <row r="145" spans="1:36">
      <c r="A145" t="str">
        <f>"electricity_archetype_"&amp;TEXT(ROUND(Table2[[#This Row],[2016]],1),"0.0")</f>
        <v>electricity_archetype_6.2</v>
      </c>
      <c r="B145" s="5">
        <f t="shared" si="24"/>
        <v>6.2</v>
      </c>
      <c r="C145" s="5">
        <f t="shared" si="26"/>
        <v>6.2</v>
      </c>
      <c r="D145" s="5">
        <f t="shared" si="26"/>
        <v>6.2</v>
      </c>
      <c r="E145" s="5">
        <f t="shared" si="26"/>
        <v>6.04</v>
      </c>
      <c r="F145" s="5">
        <f t="shared" si="26"/>
        <v>5.66</v>
      </c>
      <c r="G145" s="5">
        <f t="shared" si="26"/>
        <v>5.77</v>
      </c>
      <c r="H145" s="5">
        <f t="shared" si="26"/>
        <v>5.57</v>
      </c>
      <c r="I145" s="5">
        <f t="shared" si="26"/>
        <v>5.26</v>
      </c>
      <c r="J145" s="5">
        <f t="shared" si="26"/>
        <v>5.09</v>
      </c>
      <c r="K145" s="5">
        <f t="shared" si="26"/>
        <v>4.92</v>
      </c>
      <c r="L145" s="5">
        <f t="shared" si="26"/>
        <v>4.79</v>
      </c>
      <c r="M145" s="5">
        <f t="shared" si="26"/>
        <v>4.78</v>
      </c>
      <c r="N145" s="5">
        <f t="shared" si="26"/>
        <v>4.56</v>
      </c>
      <c r="O145" s="5">
        <f t="shared" si="26"/>
        <v>4.33</v>
      </c>
      <c r="P145" s="5">
        <f t="shared" si="26"/>
        <v>4.14</v>
      </c>
      <c r="Q145" s="5">
        <f t="shared" si="26"/>
        <v>3.43</v>
      </c>
      <c r="R145" s="5">
        <f t="shared" si="26"/>
        <v>2.54</v>
      </c>
      <c r="S145" s="5">
        <f t="shared" si="25"/>
        <v>2.29</v>
      </c>
      <c r="T145" s="5">
        <f t="shared" si="25"/>
        <v>1.63</v>
      </c>
      <c r="U145" s="5">
        <f t="shared" si="25"/>
        <v>1.18</v>
      </c>
      <c r="V145" s="5">
        <f t="shared" si="25"/>
        <v>1.1</v>
      </c>
      <c r="W145" s="5">
        <f t="shared" si="25"/>
        <v>0.99</v>
      </c>
      <c r="X145" s="5">
        <f t="shared" si="25"/>
        <v>0.9</v>
      </c>
      <c r="Y145" s="5">
        <f t="shared" si="25"/>
        <v>0.82</v>
      </c>
      <c r="Z145" s="5">
        <f t="shared" si="25"/>
        <v>0.84</v>
      </c>
      <c r="AA145" s="5">
        <f t="shared" si="25"/>
        <v>0.83</v>
      </c>
      <c r="AB145" s="5">
        <f t="shared" si="25"/>
        <v>0.81</v>
      </c>
      <c r="AC145" s="5">
        <f t="shared" si="25"/>
        <v>0.74</v>
      </c>
      <c r="AD145" s="5">
        <f t="shared" si="25"/>
        <v>0.73</v>
      </c>
      <c r="AE145" s="5">
        <f t="shared" si="25"/>
        <v>0.72</v>
      </c>
      <c r="AF145" s="5">
        <f t="shared" si="25"/>
        <v>0.7</v>
      </c>
      <c r="AG145" s="5">
        <f t="shared" si="25"/>
        <v>0.69</v>
      </c>
      <c r="AH145" s="5">
        <f t="shared" si="17"/>
        <v>0.68</v>
      </c>
      <c r="AI145" s="5">
        <f t="shared" si="17"/>
        <v>0.67</v>
      </c>
      <c r="AJ145" s="5">
        <f t="shared" si="17"/>
        <v>0.66</v>
      </c>
    </row>
    <row r="146" spans="1:36">
      <c r="A146" t="str">
        <f>"electricity_archetype_"&amp;TEXT(ROUND(Table2[[#This Row],[2016]],1),"0.0")</f>
        <v>electricity_archetype_6.1</v>
      </c>
      <c r="B146" s="5">
        <f t="shared" si="24"/>
        <v>6.1</v>
      </c>
      <c r="C146" s="5">
        <f t="shared" si="26"/>
        <v>6.1</v>
      </c>
      <c r="D146" s="5">
        <f t="shared" si="26"/>
        <v>6.1</v>
      </c>
      <c r="E146" s="5">
        <f t="shared" si="26"/>
        <v>5.94</v>
      </c>
      <c r="F146" s="5">
        <f t="shared" si="26"/>
        <v>5.57</v>
      </c>
      <c r="G146" s="5">
        <f t="shared" si="26"/>
        <v>5.68</v>
      </c>
      <c r="H146" s="5">
        <f t="shared" si="26"/>
        <v>5.48</v>
      </c>
      <c r="I146" s="5">
        <f t="shared" si="26"/>
        <v>5.18</v>
      </c>
      <c r="J146" s="5">
        <f t="shared" si="26"/>
        <v>5.01</v>
      </c>
      <c r="K146" s="5">
        <f t="shared" si="26"/>
        <v>4.84</v>
      </c>
      <c r="L146" s="5">
        <f t="shared" si="26"/>
        <v>4.72</v>
      </c>
      <c r="M146" s="5">
        <f t="shared" si="26"/>
        <v>4.71</v>
      </c>
      <c r="N146" s="5">
        <f t="shared" si="26"/>
        <v>4.49</v>
      </c>
      <c r="O146" s="5">
        <f t="shared" si="26"/>
        <v>4.26</v>
      </c>
      <c r="P146" s="5">
        <f t="shared" si="26"/>
        <v>4.07</v>
      </c>
      <c r="Q146" s="5">
        <f t="shared" si="26"/>
        <v>3.38</v>
      </c>
      <c r="R146" s="5">
        <f t="shared" si="26"/>
        <v>2.5</v>
      </c>
      <c r="S146" s="5">
        <f t="shared" si="25"/>
        <v>2.26</v>
      </c>
      <c r="T146" s="5">
        <f t="shared" si="25"/>
        <v>1.61</v>
      </c>
      <c r="U146" s="5">
        <f t="shared" si="25"/>
        <v>1.17</v>
      </c>
      <c r="V146" s="5">
        <f t="shared" si="25"/>
        <v>1.09</v>
      </c>
      <c r="W146" s="5">
        <f t="shared" si="25"/>
        <v>0.98</v>
      </c>
      <c r="X146" s="5">
        <f t="shared" si="25"/>
        <v>0.9</v>
      </c>
      <c r="Y146" s="5">
        <f t="shared" si="25"/>
        <v>0.82</v>
      </c>
      <c r="Z146" s="5">
        <f t="shared" si="25"/>
        <v>0.84</v>
      </c>
      <c r="AA146" s="5">
        <f t="shared" si="25"/>
        <v>0.82</v>
      </c>
      <c r="AB146" s="5">
        <f t="shared" si="25"/>
        <v>0.81</v>
      </c>
      <c r="AC146" s="5">
        <f t="shared" si="25"/>
        <v>0.74</v>
      </c>
      <c r="AD146" s="5">
        <f t="shared" si="25"/>
        <v>0.73</v>
      </c>
      <c r="AE146" s="5">
        <f t="shared" si="25"/>
        <v>0.72</v>
      </c>
      <c r="AF146" s="5">
        <f t="shared" si="25"/>
        <v>0.7</v>
      </c>
      <c r="AG146" s="5">
        <f t="shared" si="25"/>
        <v>0.69</v>
      </c>
      <c r="AH146" s="5">
        <f t="shared" si="17"/>
        <v>0.68</v>
      </c>
      <c r="AI146" s="5">
        <f t="shared" si="17"/>
        <v>0.67</v>
      </c>
      <c r="AJ146" s="5">
        <f t="shared" si="17"/>
        <v>0.66</v>
      </c>
    </row>
    <row r="147" spans="1:36">
      <c r="A147" t="str">
        <f>"electricity_archetype_"&amp;TEXT(ROUND(Table2[[#This Row],[2016]],1),"0.0")</f>
        <v>electricity_archetype_6.0</v>
      </c>
      <c r="B147" s="5">
        <f t="shared" si="24"/>
        <v>6</v>
      </c>
      <c r="C147" s="5">
        <f t="shared" si="26"/>
        <v>6</v>
      </c>
      <c r="D147" s="5">
        <f t="shared" si="26"/>
        <v>6</v>
      </c>
      <c r="E147" s="5">
        <f t="shared" si="26"/>
        <v>5.85</v>
      </c>
      <c r="F147" s="5">
        <f t="shared" si="26"/>
        <v>5.48</v>
      </c>
      <c r="G147" s="5">
        <f t="shared" si="26"/>
        <v>5.58</v>
      </c>
      <c r="H147" s="5">
        <f t="shared" si="26"/>
        <v>5.4</v>
      </c>
      <c r="I147" s="5">
        <f t="shared" si="26"/>
        <v>5.09</v>
      </c>
      <c r="J147" s="5">
        <f t="shared" si="26"/>
        <v>4.93</v>
      </c>
      <c r="K147" s="5">
        <f t="shared" si="26"/>
        <v>4.76</v>
      </c>
      <c r="L147" s="5">
        <f t="shared" si="26"/>
        <v>4.64</v>
      </c>
      <c r="M147" s="5">
        <f t="shared" si="26"/>
        <v>4.63</v>
      </c>
      <c r="N147" s="5">
        <f t="shared" si="26"/>
        <v>4.41</v>
      </c>
      <c r="O147" s="5">
        <f t="shared" si="26"/>
        <v>4.2</v>
      </c>
      <c r="P147" s="5">
        <f t="shared" si="26"/>
        <v>4.01</v>
      </c>
      <c r="Q147" s="5">
        <f t="shared" si="26"/>
        <v>3.33</v>
      </c>
      <c r="R147" s="5">
        <f t="shared" si="26"/>
        <v>2.47</v>
      </c>
      <c r="S147" s="5">
        <f t="shared" si="25"/>
        <v>2.23</v>
      </c>
      <c r="T147" s="5">
        <f t="shared" si="25"/>
        <v>1.6</v>
      </c>
      <c r="U147" s="5">
        <f t="shared" si="25"/>
        <v>1.16</v>
      </c>
      <c r="V147" s="5">
        <f t="shared" si="25"/>
        <v>1.09</v>
      </c>
      <c r="W147" s="5">
        <f t="shared" si="25"/>
        <v>0.98</v>
      </c>
      <c r="X147" s="5">
        <f t="shared" si="25"/>
        <v>0.89</v>
      </c>
      <c r="Y147" s="5">
        <f t="shared" si="25"/>
        <v>0.82</v>
      </c>
      <c r="Z147" s="5">
        <f t="shared" si="25"/>
        <v>0.84</v>
      </c>
      <c r="AA147" s="5">
        <f t="shared" si="25"/>
        <v>0.82</v>
      </c>
      <c r="AB147" s="5">
        <f t="shared" si="25"/>
        <v>0.81</v>
      </c>
      <c r="AC147" s="5">
        <f t="shared" si="25"/>
        <v>0.74</v>
      </c>
      <c r="AD147" s="5">
        <f t="shared" si="25"/>
        <v>0.73</v>
      </c>
      <c r="AE147" s="5">
        <f t="shared" si="25"/>
        <v>0.72</v>
      </c>
      <c r="AF147" s="5">
        <f t="shared" si="25"/>
        <v>0.7</v>
      </c>
      <c r="AG147" s="5">
        <f t="shared" si="25"/>
        <v>0.69</v>
      </c>
      <c r="AH147" s="5">
        <f t="shared" si="17"/>
        <v>0.68</v>
      </c>
      <c r="AI147" s="5">
        <f t="shared" si="17"/>
        <v>0.67</v>
      </c>
      <c r="AJ147" s="5">
        <f t="shared" si="17"/>
        <v>0.66</v>
      </c>
    </row>
    <row r="148" spans="1:36">
      <c r="A148" t="str">
        <f>"electricity_archetype_"&amp;TEXT(ROUND(Table2[[#This Row],[2016]],1),"0.0")</f>
        <v>electricity_archetype_5.9</v>
      </c>
      <c r="B148" s="5">
        <f t="shared" si="24"/>
        <v>5.9</v>
      </c>
      <c r="C148" s="5">
        <f t="shared" si="26"/>
        <v>5.9</v>
      </c>
      <c r="D148" s="5">
        <f t="shared" si="26"/>
        <v>5.9</v>
      </c>
      <c r="E148" s="5">
        <f t="shared" si="26"/>
        <v>5.75</v>
      </c>
      <c r="F148" s="5">
        <f t="shared" si="26"/>
        <v>5.39</v>
      </c>
      <c r="G148" s="5">
        <f t="shared" si="26"/>
        <v>5.49</v>
      </c>
      <c r="H148" s="5">
        <f t="shared" si="26"/>
        <v>5.31</v>
      </c>
      <c r="I148" s="5">
        <f t="shared" si="26"/>
        <v>5.01</v>
      </c>
      <c r="J148" s="5">
        <f t="shared" si="26"/>
        <v>4.85</v>
      </c>
      <c r="K148" s="5">
        <f t="shared" si="26"/>
        <v>4.69</v>
      </c>
      <c r="L148" s="5">
        <f t="shared" si="26"/>
        <v>4.57</v>
      </c>
      <c r="M148" s="5">
        <f t="shared" si="26"/>
        <v>4.56</v>
      </c>
      <c r="N148" s="5">
        <f t="shared" si="26"/>
        <v>4.34</v>
      </c>
      <c r="O148" s="5">
        <f t="shared" si="26"/>
        <v>4.13</v>
      </c>
      <c r="P148" s="5">
        <f t="shared" si="26"/>
        <v>3.95</v>
      </c>
      <c r="Q148" s="5">
        <f t="shared" si="26"/>
        <v>3.28</v>
      </c>
      <c r="R148" s="5">
        <f t="shared" si="26"/>
        <v>2.43</v>
      </c>
      <c r="S148" s="5">
        <f t="shared" si="25"/>
        <v>2.2</v>
      </c>
      <c r="T148" s="5">
        <f t="shared" si="25"/>
        <v>1.58</v>
      </c>
      <c r="U148" s="5">
        <f t="shared" si="25"/>
        <v>1.15</v>
      </c>
      <c r="V148" s="5">
        <f t="shared" si="25"/>
        <v>1.08</v>
      </c>
      <c r="W148" s="5">
        <f t="shared" si="25"/>
        <v>0.97</v>
      </c>
      <c r="X148" s="5">
        <f t="shared" si="25"/>
        <v>0.89</v>
      </c>
      <c r="Y148" s="5">
        <f t="shared" si="25"/>
        <v>0.81</v>
      </c>
      <c r="Z148" s="5">
        <f t="shared" si="25"/>
        <v>0.83</v>
      </c>
      <c r="AA148" s="5">
        <f t="shared" si="25"/>
        <v>0.82</v>
      </c>
      <c r="AB148" s="5">
        <f t="shared" si="25"/>
        <v>0.81</v>
      </c>
      <c r="AC148" s="5">
        <f t="shared" si="25"/>
        <v>0.74</v>
      </c>
      <c r="AD148" s="5">
        <f t="shared" si="25"/>
        <v>0.73</v>
      </c>
      <c r="AE148" s="5">
        <f t="shared" si="25"/>
        <v>0.72</v>
      </c>
      <c r="AF148" s="5">
        <f t="shared" si="25"/>
        <v>0.69</v>
      </c>
      <c r="AG148" s="5">
        <f t="shared" si="25"/>
        <v>0.69</v>
      </c>
      <c r="AH148" s="5">
        <f t="shared" si="17"/>
        <v>0.68</v>
      </c>
      <c r="AI148" s="5">
        <f t="shared" si="17"/>
        <v>0.67</v>
      </c>
      <c r="AJ148" s="5">
        <f t="shared" si="17"/>
        <v>0.66</v>
      </c>
    </row>
    <row r="149" spans="1:36">
      <c r="A149" t="str">
        <f>"electricity_archetype_"&amp;TEXT(ROUND(Table2[[#This Row],[2016]],1),"0.0")</f>
        <v>electricity_archetype_5.8</v>
      </c>
      <c r="B149" s="5">
        <f t="shared" si="24"/>
        <v>5.8</v>
      </c>
      <c r="C149" s="5">
        <f t="shared" si="26"/>
        <v>5.8</v>
      </c>
      <c r="D149" s="5">
        <f t="shared" si="26"/>
        <v>5.8</v>
      </c>
      <c r="E149" s="5">
        <f t="shared" si="26"/>
        <v>5.65</v>
      </c>
      <c r="F149" s="5">
        <f t="shared" si="26"/>
        <v>5.3</v>
      </c>
      <c r="G149" s="5">
        <f t="shared" si="26"/>
        <v>5.4</v>
      </c>
      <c r="H149" s="5">
        <f t="shared" si="26"/>
        <v>5.22</v>
      </c>
      <c r="I149" s="5">
        <f t="shared" si="26"/>
        <v>4.93</v>
      </c>
      <c r="J149" s="5">
        <f t="shared" si="26"/>
        <v>4.77</v>
      </c>
      <c r="K149" s="5">
        <f t="shared" si="26"/>
        <v>4.61</v>
      </c>
      <c r="L149" s="5">
        <f t="shared" si="26"/>
        <v>4.49</v>
      </c>
      <c r="M149" s="5">
        <f t="shared" si="26"/>
        <v>4.48</v>
      </c>
      <c r="N149" s="5">
        <f t="shared" si="26"/>
        <v>4.27</v>
      </c>
      <c r="O149" s="5">
        <f t="shared" si="26"/>
        <v>4.06</v>
      </c>
      <c r="P149" s="5">
        <f t="shared" si="26"/>
        <v>3.88</v>
      </c>
      <c r="Q149" s="5">
        <f t="shared" si="26"/>
        <v>3.23</v>
      </c>
      <c r="R149" s="5">
        <f t="shared" si="26"/>
        <v>2.4</v>
      </c>
      <c r="S149" s="5">
        <f t="shared" si="25"/>
        <v>2.17</v>
      </c>
      <c r="T149" s="5">
        <f t="shared" si="25"/>
        <v>1.56</v>
      </c>
      <c r="U149" s="5">
        <f t="shared" si="25"/>
        <v>1.14</v>
      </c>
      <c r="V149" s="5">
        <f t="shared" si="25"/>
        <v>1.07</v>
      </c>
      <c r="W149" s="5">
        <f t="shared" si="25"/>
        <v>0.97</v>
      </c>
      <c r="X149" s="5">
        <f t="shared" si="25"/>
        <v>0.89</v>
      </c>
      <c r="Y149" s="5">
        <f t="shared" si="25"/>
        <v>0.81</v>
      </c>
      <c r="Z149" s="5">
        <f t="shared" si="25"/>
        <v>0.83</v>
      </c>
      <c r="AA149" s="5">
        <f t="shared" si="25"/>
        <v>0.81</v>
      </c>
      <c r="AB149" s="5">
        <f t="shared" si="25"/>
        <v>0.8</v>
      </c>
      <c r="AC149" s="5">
        <f t="shared" si="25"/>
        <v>0.74</v>
      </c>
      <c r="AD149" s="5">
        <f t="shared" si="25"/>
        <v>0.73</v>
      </c>
      <c r="AE149" s="5">
        <f t="shared" si="25"/>
        <v>0.72</v>
      </c>
      <c r="AF149" s="5">
        <f t="shared" si="25"/>
        <v>0.69</v>
      </c>
      <c r="AG149" s="5">
        <f t="shared" si="25"/>
        <v>0.68</v>
      </c>
      <c r="AH149" s="5">
        <f t="shared" ref="AH149:AJ200" si="27">MROUND((($B149-$AJ$2)*((AH$2-$AJ$2)/($B$2-$AJ$2)))+$AJ$2,0.01)</f>
        <v>0.68</v>
      </c>
      <c r="AI149" s="5">
        <f t="shared" si="27"/>
        <v>0.67</v>
      </c>
      <c r="AJ149" s="5">
        <f t="shared" si="27"/>
        <v>0.66</v>
      </c>
    </row>
    <row r="150" spans="1:36">
      <c r="A150" t="str">
        <f>"electricity_archetype_"&amp;TEXT(ROUND(Table2[[#This Row],[2016]],1),"0.0")</f>
        <v>electricity_archetype_5.7</v>
      </c>
      <c r="B150" s="5">
        <f t="shared" si="24"/>
        <v>5.7</v>
      </c>
      <c r="C150" s="5">
        <f t="shared" si="26"/>
        <v>5.7</v>
      </c>
      <c r="D150" s="5">
        <f t="shared" si="26"/>
        <v>5.7</v>
      </c>
      <c r="E150" s="5">
        <f t="shared" si="26"/>
        <v>5.56</v>
      </c>
      <c r="F150" s="5">
        <f t="shared" si="26"/>
        <v>5.21</v>
      </c>
      <c r="G150" s="5">
        <f t="shared" si="26"/>
        <v>5.31</v>
      </c>
      <c r="H150" s="5">
        <f t="shared" si="26"/>
        <v>5.13</v>
      </c>
      <c r="I150" s="5">
        <f t="shared" si="26"/>
        <v>4.84</v>
      </c>
      <c r="J150" s="5">
        <f t="shared" si="26"/>
        <v>4.69</v>
      </c>
      <c r="K150" s="5">
        <f t="shared" si="26"/>
        <v>4.53</v>
      </c>
      <c r="L150" s="5">
        <f t="shared" si="26"/>
        <v>4.42</v>
      </c>
      <c r="M150" s="5">
        <f t="shared" si="26"/>
        <v>4.41</v>
      </c>
      <c r="N150" s="5">
        <f t="shared" si="26"/>
        <v>4.2</v>
      </c>
      <c r="O150" s="5">
        <f t="shared" si="26"/>
        <v>4</v>
      </c>
      <c r="P150" s="5">
        <f t="shared" si="26"/>
        <v>3.82</v>
      </c>
      <c r="Q150" s="5">
        <f t="shared" si="26"/>
        <v>3.18</v>
      </c>
      <c r="R150" s="5">
        <f t="shared" si="26"/>
        <v>2.37</v>
      </c>
      <c r="S150" s="5">
        <f t="shared" si="25"/>
        <v>2.15</v>
      </c>
      <c r="T150" s="5">
        <f t="shared" si="25"/>
        <v>1.54</v>
      </c>
      <c r="U150" s="5">
        <f t="shared" si="25"/>
        <v>1.13</v>
      </c>
      <c r="V150" s="5">
        <f t="shared" si="25"/>
        <v>1.06</v>
      </c>
      <c r="W150" s="5">
        <f t="shared" si="25"/>
        <v>0.96</v>
      </c>
      <c r="X150" s="5">
        <f t="shared" si="25"/>
        <v>0.88</v>
      </c>
      <c r="Y150" s="5">
        <f t="shared" si="25"/>
        <v>0.81</v>
      </c>
      <c r="Z150" s="5">
        <f t="shared" si="25"/>
        <v>0.83</v>
      </c>
      <c r="AA150" s="5">
        <f t="shared" si="25"/>
        <v>0.81</v>
      </c>
      <c r="AB150" s="5">
        <f t="shared" si="25"/>
        <v>0.8</v>
      </c>
      <c r="AC150" s="5">
        <f t="shared" si="25"/>
        <v>0.74</v>
      </c>
      <c r="AD150" s="5">
        <f t="shared" si="25"/>
        <v>0.73</v>
      </c>
      <c r="AE150" s="5">
        <f t="shared" si="25"/>
        <v>0.71</v>
      </c>
      <c r="AF150" s="5">
        <f t="shared" si="25"/>
        <v>0.69</v>
      </c>
      <c r="AG150" s="5">
        <f t="shared" si="25"/>
        <v>0.68</v>
      </c>
      <c r="AH150" s="5">
        <f t="shared" si="27"/>
        <v>0.68</v>
      </c>
      <c r="AI150" s="5">
        <f t="shared" si="27"/>
        <v>0.67</v>
      </c>
      <c r="AJ150" s="5">
        <f t="shared" si="27"/>
        <v>0.66</v>
      </c>
    </row>
    <row r="151" spans="1:36">
      <c r="A151" t="str">
        <f>"electricity_archetype_"&amp;TEXT(ROUND(Table2[[#This Row],[2016]],1),"0.0")</f>
        <v>electricity_archetype_5.6</v>
      </c>
      <c r="B151" s="5">
        <f t="shared" si="24"/>
        <v>5.6</v>
      </c>
      <c r="C151" s="5">
        <f t="shared" si="26"/>
        <v>5.6</v>
      </c>
      <c r="D151" s="5">
        <f t="shared" si="26"/>
        <v>5.6</v>
      </c>
      <c r="E151" s="5">
        <f t="shared" si="26"/>
        <v>5.46</v>
      </c>
      <c r="F151" s="5">
        <f t="shared" si="26"/>
        <v>5.12</v>
      </c>
      <c r="G151" s="5">
        <f t="shared" si="26"/>
        <v>5.22</v>
      </c>
      <c r="H151" s="5">
        <f t="shared" si="26"/>
        <v>5.04</v>
      </c>
      <c r="I151" s="5">
        <f t="shared" si="26"/>
        <v>4.76</v>
      </c>
      <c r="J151" s="5">
        <f t="shared" si="26"/>
        <v>4.61</v>
      </c>
      <c r="K151" s="5">
        <f t="shared" si="26"/>
        <v>4.46</v>
      </c>
      <c r="L151" s="5">
        <f t="shared" si="26"/>
        <v>4.35</v>
      </c>
      <c r="M151" s="5">
        <f t="shared" si="26"/>
        <v>4.33</v>
      </c>
      <c r="N151" s="5">
        <f t="shared" si="26"/>
        <v>4.13</v>
      </c>
      <c r="O151" s="5">
        <f t="shared" si="26"/>
        <v>3.93</v>
      </c>
      <c r="P151" s="5">
        <f t="shared" si="26"/>
        <v>3.76</v>
      </c>
      <c r="Q151" s="5">
        <f t="shared" si="26"/>
        <v>3.13</v>
      </c>
      <c r="R151" s="5">
        <f t="shared" si="26"/>
        <v>2.33</v>
      </c>
      <c r="S151" s="5">
        <f t="shared" si="25"/>
        <v>2.12</v>
      </c>
      <c r="T151" s="5">
        <f t="shared" si="25"/>
        <v>1.53</v>
      </c>
      <c r="U151" s="5">
        <f t="shared" si="25"/>
        <v>1.12</v>
      </c>
      <c r="V151" s="5">
        <f t="shared" si="25"/>
        <v>1.05</v>
      </c>
      <c r="W151" s="5">
        <f t="shared" si="25"/>
        <v>0.95</v>
      </c>
      <c r="X151" s="5">
        <f t="shared" si="25"/>
        <v>0.88</v>
      </c>
      <c r="Y151" s="5">
        <f t="shared" si="25"/>
        <v>0.8</v>
      </c>
      <c r="Z151" s="5">
        <f t="shared" si="25"/>
        <v>0.82</v>
      </c>
      <c r="AA151" s="5">
        <f t="shared" si="25"/>
        <v>0.81</v>
      </c>
      <c r="AB151" s="5">
        <f t="shared" si="25"/>
        <v>0.8</v>
      </c>
      <c r="AC151" s="5">
        <f t="shared" si="25"/>
        <v>0.74</v>
      </c>
      <c r="AD151" s="5">
        <f t="shared" si="25"/>
        <v>0.72</v>
      </c>
      <c r="AE151" s="5">
        <f t="shared" si="25"/>
        <v>0.71</v>
      </c>
      <c r="AF151" s="5">
        <f t="shared" si="25"/>
        <v>0.69</v>
      </c>
      <c r="AG151" s="5">
        <f t="shared" si="25"/>
        <v>0.68</v>
      </c>
      <c r="AH151" s="5">
        <f t="shared" si="27"/>
        <v>0.67</v>
      </c>
      <c r="AI151" s="5">
        <f t="shared" si="27"/>
        <v>0.67</v>
      </c>
      <c r="AJ151" s="5">
        <f t="shared" si="27"/>
        <v>0.66</v>
      </c>
    </row>
    <row r="152" spans="1:36">
      <c r="A152" t="str">
        <f>"electricity_archetype_"&amp;TEXT(ROUND(Table2[[#This Row],[2016]],1),"0.0")</f>
        <v>electricity_archetype_5.5</v>
      </c>
      <c r="B152" s="5">
        <f t="shared" si="24"/>
        <v>5.5</v>
      </c>
      <c r="C152" s="5">
        <f t="shared" si="26"/>
        <v>5.5</v>
      </c>
      <c r="D152" s="5">
        <f t="shared" si="26"/>
        <v>5.5</v>
      </c>
      <c r="E152" s="5">
        <f t="shared" si="26"/>
        <v>5.36</v>
      </c>
      <c r="F152" s="5">
        <f t="shared" si="26"/>
        <v>5.03</v>
      </c>
      <c r="G152" s="5">
        <f t="shared" si="26"/>
        <v>5.12</v>
      </c>
      <c r="H152" s="5">
        <f t="shared" si="26"/>
        <v>4.95</v>
      </c>
      <c r="I152" s="5">
        <f t="shared" si="26"/>
        <v>4.68</v>
      </c>
      <c r="J152" s="5">
        <f t="shared" si="26"/>
        <v>4.53</v>
      </c>
      <c r="K152" s="5">
        <f t="shared" si="26"/>
        <v>4.38</v>
      </c>
      <c r="L152" s="5">
        <f t="shared" si="26"/>
        <v>4.27</v>
      </c>
      <c r="M152" s="5">
        <f t="shared" si="26"/>
        <v>4.26</v>
      </c>
      <c r="N152" s="5">
        <f t="shared" si="26"/>
        <v>4.06</v>
      </c>
      <c r="O152" s="5">
        <f t="shared" si="26"/>
        <v>3.87</v>
      </c>
      <c r="P152" s="5">
        <f t="shared" si="26"/>
        <v>3.7</v>
      </c>
      <c r="Q152" s="5">
        <f t="shared" si="26"/>
        <v>3.08</v>
      </c>
      <c r="R152" s="5">
        <f t="shared" si="26"/>
        <v>2.3</v>
      </c>
      <c r="S152" s="5">
        <f t="shared" si="25"/>
        <v>2.09</v>
      </c>
      <c r="T152" s="5">
        <f t="shared" si="25"/>
        <v>1.51</v>
      </c>
      <c r="U152" s="5">
        <f t="shared" si="25"/>
        <v>1.11</v>
      </c>
      <c r="V152" s="5">
        <f t="shared" si="25"/>
        <v>1.05</v>
      </c>
      <c r="W152" s="5">
        <f t="shared" si="25"/>
        <v>0.95</v>
      </c>
      <c r="X152" s="5">
        <f t="shared" si="25"/>
        <v>0.87</v>
      </c>
      <c r="Y152" s="5">
        <f t="shared" si="25"/>
        <v>0.8</v>
      </c>
      <c r="Z152" s="5">
        <f t="shared" si="25"/>
        <v>0.82</v>
      </c>
      <c r="AA152" s="5">
        <f t="shared" si="25"/>
        <v>0.8</v>
      </c>
      <c r="AB152" s="5">
        <f t="shared" si="25"/>
        <v>0.8</v>
      </c>
      <c r="AC152" s="5">
        <f t="shared" si="25"/>
        <v>0.73</v>
      </c>
      <c r="AD152" s="5">
        <f t="shared" si="25"/>
        <v>0.72</v>
      </c>
      <c r="AE152" s="5">
        <f t="shared" si="25"/>
        <v>0.71</v>
      </c>
      <c r="AF152" s="5">
        <f t="shared" si="25"/>
        <v>0.69</v>
      </c>
      <c r="AG152" s="5">
        <f t="shared" si="25"/>
        <v>0.68</v>
      </c>
      <c r="AH152" s="5">
        <f t="shared" si="27"/>
        <v>0.67</v>
      </c>
      <c r="AI152" s="5">
        <f t="shared" si="27"/>
        <v>0.67</v>
      </c>
      <c r="AJ152" s="5">
        <f t="shared" si="27"/>
        <v>0.66</v>
      </c>
    </row>
    <row r="153" spans="1:36">
      <c r="A153" t="str">
        <f>"electricity_archetype_"&amp;TEXT(ROUND(Table2[[#This Row],[2016]],1),"0.0")</f>
        <v>electricity_archetype_5.4</v>
      </c>
      <c r="B153" s="5">
        <f t="shared" si="24"/>
        <v>5.4</v>
      </c>
      <c r="C153" s="5">
        <f t="shared" si="26"/>
        <v>5.4</v>
      </c>
      <c r="D153" s="5">
        <f t="shared" si="26"/>
        <v>5.4</v>
      </c>
      <c r="E153" s="5">
        <f t="shared" si="26"/>
        <v>5.26</v>
      </c>
      <c r="F153" s="5">
        <f t="shared" si="26"/>
        <v>4.94</v>
      </c>
      <c r="G153" s="5">
        <f t="shared" si="26"/>
        <v>5.03</v>
      </c>
      <c r="H153" s="5">
        <f t="shared" si="26"/>
        <v>4.86</v>
      </c>
      <c r="I153" s="5">
        <f t="shared" si="26"/>
        <v>4.59</v>
      </c>
      <c r="J153" s="5">
        <f t="shared" si="26"/>
        <v>4.45</v>
      </c>
      <c r="K153" s="5">
        <f t="shared" si="26"/>
        <v>4.3</v>
      </c>
      <c r="L153" s="5">
        <f t="shared" si="26"/>
        <v>4.2</v>
      </c>
      <c r="M153" s="5">
        <f t="shared" si="26"/>
        <v>4.18</v>
      </c>
      <c r="N153" s="5">
        <f t="shared" si="26"/>
        <v>3.99</v>
      </c>
      <c r="O153" s="5">
        <f t="shared" si="26"/>
        <v>3.8</v>
      </c>
      <c r="P153" s="5">
        <f t="shared" si="26"/>
        <v>3.63</v>
      </c>
      <c r="Q153" s="5">
        <f t="shared" si="26"/>
        <v>3.03</v>
      </c>
      <c r="R153" s="5">
        <f t="shared" si="26"/>
        <v>2.27</v>
      </c>
      <c r="S153" s="5">
        <f t="shared" si="25"/>
        <v>2.06</v>
      </c>
      <c r="T153" s="5">
        <f t="shared" si="25"/>
        <v>1.49</v>
      </c>
      <c r="U153" s="5">
        <f t="shared" si="25"/>
        <v>1.1</v>
      </c>
      <c r="V153" s="5">
        <f t="shared" si="25"/>
        <v>1.04</v>
      </c>
      <c r="W153" s="5">
        <f t="shared" si="25"/>
        <v>0.94</v>
      </c>
      <c r="X153" s="5">
        <f t="shared" si="25"/>
        <v>0.87</v>
      </c>
      <c r="Y153" s="5">
        <f t="shared" si="25"/>
        <v>0.8</v>
      </c>
      <c r="Z153" s="5">
        <f t="shared" si="25"/>
        <v>0.82</v>
      </c>
      <c r="AA153" s="5">
        <f t="shared" si="25"/>
        <v>0.8</v>
      </c>
      <c r="AB153" s="5">
        <f t="shared" si="25"/>
        <v>0.79</v>
      </c>
      <c r="AC153" s="5">
        <f t="shared" si="25"/>
        <v>0.73</v>
      </c>
      <c r="AD153" s="5">
        <f t="shared" si="25"/>
        <v>0.72</v>
      </c>
      <c r="AE153" s="5">
        <f t="shared" si="25"/>
        <v>0.71</v>
      </c>
      <c r="AF153" s="5">
        <f t="shared" si="25"/>
        <v>0.69</v>
      </c>
      <c r="AG153" s="5">
        <f t="shared" si="25"/>
        <v>0.68</v>
      </c>
      <c r="AH153" s="5">
        <f t="shared" si="27"/>
        <v>0.67</v>
      </c>
      <c r="AI153" s="5">
        <f t="shared" si="27"/>
        <v>0.67</v>
      </c>
      <c r="AJ153" s="5">
        <f t="shared" si="27"/>
        <v>0.66</v>
      </c>
    </row>
    <row r="154" spans="1:36">
      <c r="A154" t="str">
        <f>"electricity_archetype_"&amp;TEXT(ROUND(Table2[[#This Row],[2016]],1),"0.0")</f>
        <v>electricity_archetype_5.3</v>
      </c>
      <c r="B154" s="5">
        <f t="shared" si="24"/>
        <v>5.3</v>
      </c>
      <c r="C154" s="5">
        <f t="shared" si="26"/>
        <v>5.3</v>
      </c>
      <c r="D154" s="5">
        <f t="shared" si="26"/>
        <v>5.3</v>
      </c>
      <c r="E154" s="5">
        <f t="shared" si="26"/>
        <v>5.17</v>
      </c>
      <c r="F154" s="5">
        <f t="shared" si="26"/>
        <v>4.85</v>
      </c>
      <c r="G154" s="5">
        <f t="shared" si="26"/>
        <v>4.94</v>
      </c>
      <c r="H154" s="5">
        <f t="shared" si="26"/>
        <v>4.78</v>
      </c>
      <c r="I154" s="5">
        <f t="shared" si="26"/>
        <v>4.51</v>
      </c>
      <c r="J154" s="5">
        <f t="shared" si="26"/>
        <v>4.37</v>
      </c>
      <c r="K154" s="5">
        <f t="shared" si="26"/>
        <v>4.23</v>
      </c>
      <c r="L154" s="5">
        <f t="shared" si="26"/>
        <v>4.12</v>
      </c>
      <c r="M154" s="5">
        <f t="shared" si="26"/>
        <v>4.11</v>
      </c>
      <c r="N154" s="5">
        <f t="shared" si="26"/>
        <v>3.92</v>
      </c>
      <c r="O154" s="5">
        <f t="shared" si="26"/>
        <v>3.73</v>
      </c>
      <c r="P154" s="5">
        <f t="shared" si="26"/>
        <v>3.57</v>
      </c>
      <c r="Q154" s="5">
        <f t="shared" si="26"/>
        <v>2.98</v>
      </c>
      <c r="R154" s="5">
        <f t="shared" si="26"/>
        <v>2.23</v>
      </c>
      <c r="S154" s="5">
        <f t="shared" si="25"/>
        <v>2.03</v>
      </c>
      <c r="T154" s="5">
        <f t="shared" si="25"/>
        <v>1.47</v>
      </c>
      <c r="U154" s="5">
        <f t="shared" si="25"/>
        <v>1.1</v>
      </c>
      <c r="V154" s="5">
        <f t="shared" si="25"/>
        <v>1.03</v>
      </c>
      <c r="W154" s="5">
        <f t="shared" si="25"/>
        <v>0.94</v>
      </c>
      <c r="X154" s="5">
        <f t="shared" si="25"/>
        <v>0.86</v>
      </c>
      <c r="Y154" s="5">
        <f t="shared" si="25"/>
        <v>0.8</v>
      </c>
      <c r="Z154" s="5">
        <f t="shared" si="25"/>
        <v>0.81</v>
      </c>
      <c r="AA154" s="5">
        <f t="shared" si="25"/>
        <v>0.8</v>
      </c>
      <c r="AB154" s="5">
        <f t="shared" si="25"/>
        <v>0.79</v>
      </c>
      <c r="AC154" s="5">
        <f t="shared" si="25"/>
        <v>0.73</v>
      </c>
      <c r="AD154" s="5">
        <f t="shared" si="25"/>
        <v>0.72</v>
      </c>
      <c r="AE154" s="5">
        <f t="shared" si="25"/>
        <v>0.71</v>
      </c>
      <c r="AF154" s="5">
        <f t="shared" si="25"/>
        <v>0.69</v>
      </c>
      <c r="AG154" s="5">
        <f t="shared" si="25"/>
        <v>0.68</v>
      </c>
      <c r="AH154" s="5">
        <f t="shared" si="27"/>
        <v>0.67</v>
      </c>
      <c r="AI154" s="5">
        <f t="shared" si="27"/>
        <v>0.67</v>
      </c>
      <c r="AJ154" s="5">
        <f t="shared" si="27"/>
        <v>0.66</v>
      </c>
    </row>
    <row r="155" spans="1:36">
      <c r="A155" t="str">
        <f>"electricity_archetype_"&amp;TEXT(ROUND(Table2[[#This Row],[2016]],1),"0.0")</f>
        <v>electricity_archetype_5.2</v>
      </c>
      <c r="B155" s="5">
        <f t="shared" si="24"/>
        <v>5.2</v>
      </c>
      <c r="C155" s="5">
        <f t="shared" si="26"/>
        <v>5.2</v>
      </c>
      <c r="D155" s="5">
        <f t="shared" si="26"/>
        <v>5.2</v>
      </c>
      <c r="E155" s="5">
        <f t="shared" si="26"/>
        <v>5.07</v>
      </c>
      <c r="F155" s="5">
        <f t="shared" si="26"/>
        <v>4.76</v>
      </c>
      <c r="G155" s="5">
        <f t="shared" si="26"/>
        <v>4.85</v>
      </c>
      <c r="H155" s="5">
        <f t="shared" si="26"/>
        <v>4.69</v>
      </c>
      <c r="I155" s="5">
        <f t="shared" si="26"/>
        <v>4.43</v>
      </c>
      <c r="J155" s="5">
        <f t="shared" si="26"/>
        <v>4.29</v>
      </c>
      <c r="K155" s="5">
        <f t="shared" si="26"/>
        <v>4.15</v>
      </c>
      <c r="L155" s="5">
        <f t="shared" si="26"/>
        <v>4.05</v>
      </c>
      <c r="M155" s="5">
        <f t="shared" si="26"/>
        <v>4.04</v>
      </c>
      <c r="N155" s="5">
        <f t="shared" si="26"/>
        <v>3.85</v>
      </c>
      <c r="O155" s="5">
        <f t="shared" si="26"/>
        <v>3.67</v>
      </c>
      <c r="P155" s="5">
        <f t="shared" si="26"/>
        <v>3.51</v>
      </c>
      <c r="Q155" s="5">
        <f t="shared" si="26"/>
        <v>2.93</v>
      </c>
      <c r="R155" s="5">
        <f t="shared" si="26"/>
        <v>2.2</v>
      </c>
      <c r="S155" s="5">
        <f t="shared" si="25"/>
        <v>2</v>
      </c>
      <c r="T155" s="5">
        <f t="shared" si="25"/>
        <v>1.46</v>
      </c>
      <c r="U155" s="5">
        <f t="shared" si="25"/>
        <v>1.09</v>
      </c>
      <c r="V155" s="5">
        <f t="shared" si="25"/>
        <v>1.02</v>
      </c>
      <c r="W155" s="5">
        <f t="shared" si="25"/>
        <v>0.93</v>
      </c>
      <c r="X155" s="5">
        <f t="shared" si="25"/>
        <v>0.86</v>
      </c>
      <c r="Y155" s="5">
        <f t="shared" si="25"/>
        <v>0.79</v>
      </c>
      <c r="Z155" s="5">
        <f t="shared" si="25"/>
        <v>0.81</v>
      </c>
      <c r="AA155" s="5">
        <f t="shared" si="25"/>
        <v>0.79</v>
      </c>
      <c r="AB155" s="5">
        <f t="shared" si="25"/>
        <v>0.79</v>
      </c>
      <c r="AC155" s="5">
        <f t="shared" si="25"/>
        <v>0.73</v>
      </c>
      <c r="AD155" s="5">
        <f t="shared" si="25"/>
        <v>0.72</v>
      </c>
      <c r="AE155" s="5">
        <f t="shared" si="25"/>
        <v>0.71</v>
      </c>
      <c r="AF155" s="5">
        <f t="shared" si="25"/>
        <v>0.69</v>
      </c>
      <c r="AG155" s="5">
        <f t="shared" si="25"/>
        <v>0.68</v>
      </c>
      <c r="AH155" s="5">
        <f t="shared" si="27"/>
        <v>0.67</v>
      </c>
      <c r="AI155" s="5">
        <f t="shared" si="27"/>
        <v>0.67</v>
      </c>
      <c r="AJ155" s="5">
        <f t="shared" si="27"/>
        <v>0.66</v>
      </c>
    </row>
    <row r="156" spans="1:36">
      <c r="A156" t="str">
        <f>"electricity_archetype_"&amp;TEXT(ROUND(Table2[[#This Row],[2016]],1),"0.0")</f>
        <v>electricity_archetype_5.1</v>
      </c>
      <c r="B156" s="5">
        <f t="shared" si="24"/>
        <v>5.1</v>
      </c>
      <c r="C156" s="5">
        <f t="shared" si="26"/>
        <v>5.1</v>
      </c>
      <c r="D156" s="5">
        <f t="shared" si="26"/>
        <v>5.1</v>
      </c>
      <c r="E156" s="5">
        <f t="shared" si="26"/>
        <v>4.97</v>
      </c>
      <c r="F156" s="5">
        <f t="shared" si="26"/>
        <v>4.67</v>
      </c>
      <c r="G156" s="5">
        <f t="shared" si="26"/>
        <v>4.75</v>
      </c>
      <c r="H156" s="5">
        <f t="shared" si="26"/>
        <v>4.6</v>
      </c>
      <c r="I156" s="5">
        <f t="shared" si="26"/>
        <v>4.35</v>
      </c>
      <c r="J156" s="5">
        <f t="shared" si="26"/>
        <v>4.21</v>
      </c>
      <c r="K156" s="5">
        <f t="shared" si="26"/>
        <v>4.07</v>
      </c>
      <c r="L156" s="5">
        <f t="shared" si="26"/>
        <v>3.97</v>
      </c>
      <c r="M156" s="5">
        <f t="shared" si="26"/>
        <v>3.96</v>
      </c>
      <c r="N156" s="5">
        <f t="shared" si="26"/>
        <v>3.78</v>
      </c>
      <c r="O156" s="5">
        <f t="shared" si="26"/>
        <v>3.6</v>
      </c>
      <c r="P156" s="5">
        <f t="shared" si="26"/>
        <v>3.45</v>
      </c>
      <c r="Q156" s="5">
        <f t="shared" si="26"/>
        <v>2.88</v>
      </c>
      <c r="R156" s="5">
        <f t="shared" si="26"/>
        <v>2.16</v>
      </c>
      <c r="S156" s="5">
        <f t="shared" si="25"/>
        <v>1.97</v>
      </c>
      <c r="T156" s="5">
        <f t="shared" si="25"/>
        <v>1.44</v>
      </c>
      <c r="U156" s="5">
        <f t="shared" si="25"/>
        <v>1.08</v>
      </c>
      <c r="V156" s="5">
        <f t="shared" si="25"/>
        <v>1.01</v>
      </c>
      <c r="W156" s="5">
        <f t="shared" si="25"/>
        <v>0.92</v>
      </c>
      <c r="X156" s="5">
        <f t="shared" si="25"/>
        <v>0.85</v>
      </c>
      <c r="Y156" s="5">
        <f t="shared" si="25"/>
        <v>0.79</v>
      </c>
      <c r="Z156" s="5">
        <f t="shared" si="25"/>
        <v>0.81</v>
      </c>
      <c r="AA156" s="5">
        <f t="shared" si="25"/>
        <v>0.79</v>
      </c>
      <c r="AB156" s="5">
        <f t="shared" si="25"/>
        <v>0.78</v>
      </c>
      <c r="AC156" s="5">
        <f t="shared" si="25"/>
        <v>0.73</v>
      </c>
      <c r="AD156" s="5">
        <f t="shared" si="25"/>
        <v>0.72</v>
      </c>
      <c r="AE156" s="5">
        <f t="shared" si="25"/>
        <v>0.71</v>
      </c>
      <c r="AF156" s="5">
        <f t="shared" si="25"/>
        <v>0.69</v>
      </c>
      <c r="AG156" s="5">
        <f t="shared" si="25"/>
        <v>0.68</v>
      </c>
      <c r="AH156" s="5">
        <f t="shared" si="27"/>
        <v>0.67</v>
      </c>
      <c r="AI156" s="5">
        <f t="shared" si="27"/>
        <v>0.67</v>
      </c>
      <c r="AJ156" s="5">
        <f t="shared" si="27"/>
        <v>0.66</v>
      </c>
    </row>
    <row r="157" spans="1:36">
      <c r="A157" t="str">
        <f>"electricity_archetype_"&amp;TEXT(ROUND(Table2[[#This Row],[2016]],1),"0.0")</f>
        <v>electricity_archetype_5.0</v>
      </c>
      <c r="B157" s="5">
        <f t="shared" si="24"/>
        <v>5</v>
      </c>
      <c r="C157" s="5">
        <f t="shared" si="26"/>
        <v>5</v>
      </c>
      <c r="D157" s="5">
        <f t="shared" si="26"/>
        <v>5</v>
      </c>
      <c r="E157" s="5">
        <f t="shared" si="26"/>
        <v>4.88</v>
      </c>
      <c r="F157" s="5">
        <f t="shared" si="26"/>
        <v>4.58</v>
      </c>
      <c r="G157" s="5">
        <f t="shared" si="26"/>
        <v>4.66</v>
      </c>
      <c r="H157" s="5">
        <f t="shared" si="26"/>
        <v>4.51</v>
      </c>
      <c r="I157" s="5">
        <f t="shared" si="26"/>
        <v>4.26</v>
      </c>
      <c r="J157" s="5">
        <f t="shared" si="26"/>
        <v>4.13</v>
      </c>
      <c r="K157" s="5">
        <f t="shared" si="26"/>
        <v>4</v>
      </c>
      <c r="L157" s="5">
        <f t="shared" si="26"/>
        <v>3.9</v>
      </c>
      <c r="M157" s="5">
        <f t="shared" si="26"/>
        <v>3.89</v>
      </c>
      <c r="N157" s="5">
        <f t="shared" si="26"/>
        <v>3.71</v>
      </c>
      <c r="O157" s="5">
        <f t="shared" si="26"/>
        <v>3.53</v>
      </c>
      <c r="P157" s="5">
        <f t="shared" si="26"/>
        <v>3.38</v>
      </c>
      <c r="Q157" s="5">
        <f t="shared" si="26"/>
        <v>2.83</v>
      </c>
      <c r="R157" s="5">
        <f t="shared" si="26"/>
        <v>2.13</v>
      </c>
      <c r="S157" s="5">
        <f t="shared" si="25"/>
        <v>1.94</v>
      </c>
      <c r="T157" s="5">
        <f t="shared" si="25"/>
        <v>1.42</v>
      </c>
      <c r="U157" s="5">
        <f t="shared" si="25"/>
        <v>1.07</v>
      </c>
      <c r="V157" s="5">
        <f t="shared" si="25"/>
        <v>1.01</v>
      </c>
      <c r="W157" s="5">
        <f t="shared" si="25"/>
        <v>0.92</v>
      </c>
      <c r="X157" s="5">
        <f t="shared" si="25"/>
        <v>0.85</v>
      </c>
      <c r="Y157" s="5">
        <f t="shared" si="25"/>
        <v>0.79</v>
      </c>
      <c r="Z157" s="5">
        <f t="shared" si="25"/>
        <v>0.8</v>
      </c>
      <c r="AA157" s="5">
        <f t="shared" si="25"/>
        <v>0.79</v>
      </c>
      <c r="AB157" s="5">
        <f t="shared" si="25"/>
        <v>0.78</v>
      </c>
      <c r="AC157" s="5">
        <f t="shared" si="25"/>
        <v>0.73</v>
      </c>
      <c r="AD157" s="5">
        <f t="shared" si="25"/>
        <v>0.72</v>
      </c>
      <c r="AE157" s="5">
        <f t="shared" si="25"/>
        <v>0.71</v>
      </c>
      <c r="AF157" s="5">
        <f t="shared" si="25"/>
        <v>0.69</v>
      </c>
      <c r="AG157" s="5">
        <f t="shared" si="25"/>
        <v>0.68</v>
      </c>
      <c r="AH157" s="5">
        <f t="shared" si="27"/>
        <v>0.67</v>
      </c>
      <c r="AI157" s="5">
        <f t="shared" si="27"/>
        <v>0.67</v>
      </c>
      <c r="AJ157" s="5">
        <f t="shared" si="27"/>
        <v>0.66</v>
      </c>
    </row>
    <row r="158" spans="1:36">
      <c r="A158" t="str">
        <f>"electricity_archetype_"&amp;TEXT(ROUND(Table2[[#This Row],[2016]],1),"0.0")</f>
        <v>electricity_archetype_4.9</v>
      </c>
      <c r="B158" s="5">
        <f t="shared" si="24"/>
        <v>4.9</v>
      </c>
      <c r="C158" s="5">
        <f t="shared" si="26"/>
        <v>4.9</v>
      </c>
      <c r="D158" s="5">
        <f t="shared" si="26"/>
        <v>4.9</v>
      </c>
      <c r="E158" s="5">
        <f t="shared" si="26"/>
        <v>4.78</v>
      </c>
      <c r="F158" s="5">
        <f t="shared" si="26"/>
        <v>4.49</v>
      </c>
      <c r="G158" s="5">
        <f t="shared" si="26"/>
        <v>4.57</v>
      </c>
      <c r="H158" s="5">
        <f t="shared" si="26"/>
        <v>4.42</v>
      </c>
      <c r="I158" s="5">
        <f t="shared" si="26"/>
        <v>4.18</v>
      </c>
      <c r="J158" s="5">
        <f t="shared" si="26"/>
        <v>4.05</v>
      </c>
      <c r="K158" s="5">
        <f t="shared" si="26"/>
        <v>3.92</v>
      </c>
      <c r="L158" s="5">
        <f t="shared" si="26"/>
        <v>3.82</v>
      </c>
      <c r="M158" s="5">
        <f t="shared" si="26"/>
        <v>3.81</v>
      </c>
      <c r="N158" s="5">
        <f t="shared" si="26"/>
        <v>3.64</v>
      </c>
      <c r="O158" s="5">
        <f t="shared" si="26"/>
        <v>3.47</v>
      </c>
      <c r="P158" s="5">
        <f t="shared" si="26"/>
        <v>3.32</v>
      </c>
      <c r="Q158" s="5">
        <f t="shared" si="26"/>
        <v>2.78</v>
      </c>
      <c r="R158" s="5">
        <f t="shared" ref="R158:AG173" si="28">MROUND((($B158-$AJ$2)*((R$2-$AJ$2)/($B$2-$AJ$2)))+$AJ$2,0.01)</f>
        <v>2.1</v>
      </c>
      <c r="S158" s="5">
        <f t="shared" si="28"/>
        <v>1.91</v>
      </c>
      <c r="T158" s="5">
        <f t="shared" si="28"/>
        <v>1.4</v>
      </c>
      <c r="U158" s="5">
        <f t="shared" si="28"/>
        <v>1.06</v>
      </c>
      <c r="V158" s="5">
        <f t="shared" si="28"/>
        <v>1</v>
      </c>
      <c r="W158" s="5">
        <f t="shared" si="28"/>
        <v>0.91</v>
      </c>
      <c r="X158" s="5">
        <f t="shared" si="28"/>
        <v>0.85</v>
      </c>
      <c r="Y158" s="5">
        <f t="shared" si="28"/>
        <v>0.78</v>
      </c>
      <c r="Z158" s="5">
        <f t="shared" si="28"/>
        <v>0.8</v>
      </c>
      <c r="AA158" s="5">
        <f t="shared" si="28"/>
        <v>0.79</v>
      </c>
      <c r="AB158" s="5">
        <f t="shared" si="28"/>
        <v>0.78</v>
      </c>
      <c r="AC158" s="5">
        <f t="shared" si="28"/>
        <v>0.72</v>
      </c>
      <c r="AD158" s="5">
        <f t="shared" si="28"/>
        <v>0.72</v>
      </c>
      <c r="AE158" s="5">
        <f t="shared" si="28"/>
        <v>0.7</v>
      </c>
      <c r="AF158" s="5">
        <f t="shared" si="28"/>
        <v>0.69</v>
      </c>
      <c r="AG158" s="5">
        <f t="shared" si="28"/>
        <v>0.68</v>
      </c>
      <c r="AH158" s="5">
        <f t="shared" si="27"/>
        <v>0.67</v>
      </c>
      <c r="AI158" s="5">
        <f t="shared" si="27"/>
        <v>0.66</v>
      </c>
      <c r="AJ158" s="5">
        <f t="shared" si="27"/>
        <v>0.66</v>
      </c>
    </row>
    <row r="159" spans="1:36">
      <c r="A159" t="str">
        <f>"electricity_archetype_"&amp;TEXT(ROUND(Table2[[#This Row],[2016]],1),"0.0")</f>
        <v>electricity_archetype_4.8</v>
      </c>
      <c r="B159" s="5">
        <f t="shared" si="24"/>
        <v>4.8</v>
      </c>
      <c r="C159" s="5">
        <f t="shared" ref="C159:R174" si="29">MROUND((($B159-$AJ$2)*((C$2-$AJ$2)/($B$2-$AJ$2)))+$AJ$2,0.01)</f>
        <v>4.8</v>
      </c>
      <c r="D159" s="5">
        <f t="shared" si="29"/>
        <v>4.8</v>
      </c>
      <c r="E159" s="5">
        <f t="shared" si="29"/>
        <v>4.68</v>
      </c>
      <c r="F159" s="5">
        <f t="shared" si="29"/>
        <v>4.4</v>
      </c>
      <c r="G159" s="5">
        <f t="shared" si="29"/>
        <v>4.48</v>
      </c>
      <c r="H159" s="5">
        <f t="shared" si="29"/>
        <v>4.33</v>
      </c>
      <c r="I159" s="5">
        <f t="shared" si="29"/>
        <v>4.1</v>
      </c>
      <c r="J159" s="5">
        <f t="shared" si="29"/>
        <v>3.97</v>
      </c>
      <c r="K159" s="5">
        <f t="shared" si="29"/>
        <v>3.84</v>
      </c>
      <c r="L159" s="5">
        <f t="shared" si="29"/>
        <v>3.75</v>
      </c>
      <c r="M159" s="5">
        <f t="shared" si="29"/>
        <v>3.74</v>
      </c>
      <c r="N159" s="5">
        <f t="shared" si="29"/>
        <v>3.57</v>
      </c>
      <c r="O159" s="5">
        <f t="shared" si="29"/>
        <v>3.4</v>
      </c>
      <c r="P159" s="5">
        <f t="shared" si="29"/>
        <v>3.26</v>
      </c>
      <c r="Q159" s="5">
        <f t="shared" si="29"/>
        <v>2.73</v>
      </c>
      <c r="R159" s="5">
        <f t="shared" si="29"/>
        <v>2.06</v>
      </c>
      <c r="S159" s="5">
        <f t="shared" si="28"/>
        <v>1.88</v>
      </c>
      <c r="T159" s="5">
        <f t="shared" si="28"/>
        <v>1.39</v>
      </c>
      <c r="U159" s="5">
        <f t="shared" si="28"/>
        <v>1.05</v>
      </c>
      <c r="V159" s="5">
        <f t="shared" si="28"/>
        <v>0.99</v>
      </c>
      <c r="W159" s="5">
        <f t="shared" si="28"/>
        <v>0.91</v>
      </c>
      <c r="X159" s="5">
        <f t="shared" si="28"/>
        <v>0.84</v>
      </c>
      <c r="Y159" s="5">
        <f t="shared" si="28"/>
        <v>0.78</v>
      </c>
      <c r="Z159" s="5">
        <f t="shared" si="28"/>
        <v>0.8</v>
      </c>
      <c r="AA159" s="5">
        <f t="shared" si="28"/>
        <v>0.78</v>
      </c>
      <c r="AB159" s="5">
        <f t="shared" si="28"/>
        <v>0.78</v>
      </c>
      <c r="AC159" s="5">
        <f t="shared" si="28"/>
        <v>0.72</v>
      </c>
      <c r="AD159" s="5">
        <f t="shared" si="28"/>
        <v>0.71</v>
      </c>
      <c r="AE159" s="5">
        <f t="shared" si="28"/>
        <v>0.7</v>
      </c>
      <c r="AF159" s="5">
        <f t="shared" si="28"/>
        <v>0.69</v>
      </c>
      <c r="AG159" s="5">
        <f t="shared" si="28"/>
        <v>0.68</v>
      </c>
      <c r="AH159" s="5">
        <f t="shared" si="27"/>
        <v>0.67</v>
      </c>
      <c r="AI159" s="5">
        <f t="shared" si="27"/>
        <v>0.66</v>
      </c>
      <c r="AJ159" s="5">
        <f t="shared" si="27"/>
        <v>0.66</v>
      </c>
    </row>
    <row r="160" spans="1:36">
      <c r="A160" t="str">
        <f>"electricity_archetype_"&amp;TEXT(ROUND(Table2[[#This Row],[2016]],1),"0.0")</f>
        <v>electricity_archetype_4.7</v>
      </c>
      <c r="B160" s="5">
        <f t="shared" si="24"/>
        <v>4.7</v>
      </c>
      <c r="C160" s="5">
        <f t="shared" si="29"/>
        <v>4.7</v>
      </c>
      <c r="D160" s="5">
        <f t="shared" si="29"/>
        <v>4.7</v>
      </c>
      <c r="E160" s="5">
        <f t="shared" si="29"/>
        <v>4.58</v>
      </c>
      <c r="F160" s="5">
        <f t="shared" si="29"/>
        <v>4.3</v>
      </c>
      <c r="G160" s="5">
        <f t="shared" si="29"/>
        <v>4.39</v>
      </c>
      <c r="H160" s="5">
        <f t="shared" si="29"/>
        <v>4.24</v>
      </c>
      <c r="I160" s="5">
        <f t="shared" si="29"/>
        <v>4.01</v>
      </c>
      <c r="J160" s="5">
        <f t="shared" si="29"/>
        <v>3.89</v>
      </c>
      <c r="K160" s="5">
        <f t="shared" si="29"/>
        <v>3.76</v>
      </c>
      <c r="L160" s="5">
        <f t="shared" si="29"/>
        <v>3.67</v>
      </c>
      <c r="M160" s="5">
        <f t="shared" si="29"/>
        <v>3.66</v>
      </c>
      <c r="N160" s="5">
        <f t="shared" si="29"/>
        <v>3.5</v>
      </c>
      <c r="O160" s="5">
        <f t="shared" si="29"/>
        <v>3.34</v>
      </c>
      <c r="P160" s="5">
        <f t="shared" si="29"/>
        <v>3.19</v>
      </c>
      <c r="Q160" s="5">
        <f t="shared" si="29"/>
        <v>2.68</v>
      </c>
      <c r="R160" s="5">
        <f t="shared" si="29"/>
        <v>2.03</v>
      </c>
      <c r="S160" s="5">
        <f t="shared" si="28"/>
        <v>1.85</v>
      </c>
      <c r="T160" s="5">
        <f t="shared" si="28"/>
        <v>1.37</v>
      </c>
      <c r="U160" s="5">
        <f t="shared" si="28"/>
        <v>1.04</v>
      </c>
      <c r="V160" s="5">
        <f t="shared" si="28"/>
        <v>0.98</v>
      </c>
      <c r="W160" s="5">
        <f t="shared" si="28"/>
        <v>0.9</v>
      </c>
      <c r="X160" s="5">
        <f t="shared" si="28"/>
        <v>0.84</v>
      </c>
      <c r="Y160" s="5">
        <f t="shared" si="28"/>
        <v>0.78</v>
      </c>
      <c r="Z160" s="5">
        <f t="shared" si="28"/>
        <v>0.79</v>
      </c>
      <c r="AA160" s="5">
        <f t="shared" si="28"/>
        <v>0.78</v>
      </c>
      <c r="AB160" s="5">
        <f t="shared" si="28"/>
        <v>0.77</v>
      </c>
      <c r="AC160" s="5">
        <f t="shared" si="28"/>
        <v>0.72</v>
      </c>
      <c r="AD160" s="5">
        <f t="shared" si="28"/>
        <v>0.71</v>
      </c>
      <c r="AE160" s="5">
        <f t="shared" si="28"/>
        <v>0.7</v>
      </c>
      <c r="AF160" s="5">
        <f t="shared" si="28"/>
        <v>0.69</v>
      </c>
      <c r="AG160" s="5">
        <f t="shared" si="28"/>
        <v>0.68</v>
      </c>
      <c r="AH160" s="5">
        <f t="shared" si="27"/>
        <v>0.67</v>
      </c>
      <c r="AI160" s="5">
        <f t="shared" si="27"/>
        <v>0.66</v>
      </c>
      <c r="AJ160" s="5">
        <f t="shared" si="27"/>
        <v>0.66</v>
      </c>
    </row>
    <row r="161" spans="1:36">
      <c r="A161" t="str">
        <f>"electricity_archetype_"&amp;TEXT(ROUND(Table2[[#This Row],[2016]],1),"0.0")</f>
        <v>electricity_archetype_4.6</v>
      </c>
      <c r="B161" s="5">
        <f t="shared" si="24"/>
        <v>4.6</v>
      </c>
      <c r="C161" s="5">
        <f t="shared" si="29"/>
        <v>4.6</v>
      </c>
      <c r="D161" s="5">
        <f t="shared" si="29"/>
        <v>4.6</v>
      </c>
      <c r="E161" s="5">
        <f t="shared" si="29"/>
        <v>4.49</v>
      </c>
      <c r="F161" s="5">
        <f t="shared" si="29"/>
        <v>4.21</v>
      </c>
      <c r="G161" s="5">
        <f t="shared" si="29"/>
        <v>4.29</v>
      </c>
      <c r="H161" s="5">
        <f t="shared" si="29"/>
        <v>4.15</v>
      </c>
      <c r="I161" s="5">
        <f t="shared" si="29"/>
        <v>3.93</v>
      </c>
      <c r="J161" s="5">
        <f t="shared" si="29"/>
        <v>3.81</v>
      </c>
      <c r="K161" s="5">
        <f t="shared" si="29"/>
        <v>3.69</v>
      </c>
      <c r="L161" s="5">
        <f t="shared" si="29"/>
        <v>3.6</v>
      </c>
      <c r="M161" s="5">
        <f t="shared" si="29"/>
        <v>3.59</v>
      </c>
      <c r="N161" s="5">
        <f t="shared" si="29"/>
        <v>3.43</v>
      </c>
      <c r="O161" s="5">
        <f t="shared" si="29"/>
        <v>3.27</v>
      </c>
      <c r="P161" s="5">
        <f t="shared" si="29"/>
        <v>3.13</v>
      </c>
      <c r="Q161" s="5">
        <f t="shared" si="29"/>
        <v>2.63</v>
      </c>
      <c r="R161" s="5">
        <f t="shared" si="29"/>
        <v>1.99</v>
      </c>
      <c r="S161" s="5">
        <f t="shared" si="28"/>
        <v>1.82</v>
      </c>
      <c r="T161" s="5">
        <f t="shared" si="28"/>
        <v>1.35</v>
      </c>
      <c r="U161" s="5">
        <f t="shared" si="28"/>
        <v>1.03</v>
      </c>
      <c r="V161" s="5">
        <f t="shared" si="28"/>
        <v>0.97</v>
      </c>
      <c r="W161" s="5">
        <f t="shared" si="28"/>
        <v>0.89</v>
      </c>
      <c r="X161" s="5">
        <f t="shared" si="28"/>
        <v>0.83</v>
      </c>
      <c r="Y161" s="5">
        <f t="shared" si="28"/>
        <v>0.77</v>
      </c>
      <c r="Z161" s="5">
        <f t="shared" si="28"/>
        <v>0.79</v>
      </c>
      <c r="AA161" s="5">
        <f t="shared" si="28"/>
        <v>0.78</v>
      </c>
      <c r="AB161" s="5">
        <f t="shared" si="28"/>
        <v>0.77</v>
      </c>
      <c r="AC161" s="5">
        <f t="shared" si="28"/>
        <v>0.72</v>
      </c>
      <c r="AD161" s="5">
        <f t="shared" si="28"/>
        <v>0.71</v>
      </c>
      <c r="AE161" s="5">
        <f t="shared" si="28"/>
        <v>0.7</v>
      </c>
      <c r="AF161" s="5">
        <f t="shared" si="28"/>
        <v>0.69</v>
      </c>
      <c r="AG161" s="5">
        <f t="shared" si="28"/>
        <v>0.68</v>
      </c>
      <c r="AH161" s="5">
        <f t="shared" si="27"/>
        <v>0.67</v>
      </c>
      <c r="AI161" s="5">
        <f t="shared" si="27"/>
        <v>0.66</v>
      </c>
      <c r="AJ161" s="5">
        <f t="shared" si="27"/>
        <v>0.66</v>
      </c>
    </row>
    <row r="162" spans="1:36">
      <c r="A162" t="str">
        <f>"electricity_archetype_"&amp;TEXT(ROUND(Table2[[#This Row],[2016]],1),"0.0")</f>
        <v>electricity_archetype_4.5</v>
      </c>
      <c r="B162" s="5">
        <f t="shared" si="24"/>
        <v>4.5</v>
      </c>
      <c r="C162" s="5">
        <f t="shared" si="29"/>
        <v>4.5</v>
      </c>
      <c r="D162" s="5">
        <f t="shared" si="29"/>
        <v>4.5</v>
      </c>
      <c r="E162" s="5">
        <f t="shared" si="29"/>
        <v>4.39</v>
      </c>
      <c r="F162" s="5">
        <f t="shared" si="29"/>
        <v>4.12</v>
      </c>
      <c r="G162" s="5">
        <f t="shared" si="29"/>
        <v>4.2</v>
      </c>
      <c r="H162" s="5">
        <f t="shared" si="29"/>
        <v>4.07</v>
      </c>
      <c r="I162" s="5">
        <f t="shared" si="29"/>
        <v>3.85</v>
      </c>
      <c r="J162" s="5">
        <f t="shared" si="29"/>
        <v>3.73</v>
      </c>
      <c r="K162" s="5">
        <f t="shared" si="29"/>
        <v>3.61</v>
      </c>
      <c r="L162" s="5">
        <f t="shared" si="29"/>
        <v>3.52</v>
      </c>
      <c r="M162" s="5">
        <f t="shared" si="29"/>
        <v>3.52</v>
      </c>
      <c r="N162" s="5">
        <f t="shared" si="29"/>
        <v>3.36</v>
      </c>
      <c r="O162" s="5">
        <f t="shared" si="29"/>
        <v>3.2</v>
      </c>
      <c r="P162" s="5">
        <f t="shared" si="29"/>
        <v>3.07</v>
      </c>
      <c r="Q162" s="5">
        <f t="shared" si="29"/>
        <v>2.58</v>
      </c>
      <c r="R162" s="5">
        <f t="shared" si="29"/>
        <v>1.96</v>
      </c>
      <c r="S162" s="5">
        <f t="shared" si="28"/>
        <v>1.79</v>
      </c>
      <c r="T162" s="5">
        <f t="shared" si="28"/>
        <v>1.33</v>
      </c>
      <c r="U162" s="5">
        <f t="shared" si="28"/>
        <v>1.02</v>
      </c>
      <c r="V162" s="5">
        <f t="shared" si="28"/>
        <v>0.97</v>
      </c>
      <c r="W162" s="5">
        <f t="shared" si="28"/>
        <v>0.89</v>
      </c>
      <c r="X162" s="5">
        <f t="shared" si="28"/>
        <v>0.83</v>
      </c>
      <c r="Y162" s="5">
        <f t="shared" si="28"/>
        <v>0.77</v>
      </c>
      <c r="Z162" s="5">
        <f t="shared" si="28"/>
        <v>0.79</v>
      </c>
      <c r="AA162" s="5">
        <f t="shared" si="28"/>
        <v>0.77</v>
      </c>
      <c r="AB162" s="5">
        <f t="shared" si="28"/>
        <v>0.77</v>
      </c>
      <c r="AC162" s="5">
        <f t="shared" si="28"/>
        <v>0.72</v>
      </c>
      <c r="AD162" s="5">
        <f t="shared" si="28"/>
        <v>0.71</v>
      </c>
      <c r="AE162" s="5">
        <f t="shared" si="28"/>
        <v>0.7</v>
      </c>
      <c r="AF162" s="5">
        <f t="shared" si="28"/>
        <v>0.68</v>
      </c>
      <c r="AG162" s="5">
        <f t="shared" si="28"/>
        <v>0.68</v>
      </c>
      <c r="AH162" s="5">
        <f t="shared" si="27"/>
        <v>0.67</v>
      </c>
      <c r="AI162" s="5">
        <f t="shared" si="27"/>
        <v>0.66</v>
      </c>
      <c r="AJ162" s="5">
        <f t="shared" si="27"/>
        <v>0.66</v>
      </c>
    </row>
    <row r="163" spans="1:36">
      <c r="A163" t="str">
        <f>"electricity_archetype_"&amp;TEXT(ROUND(Table2[[#This Row],[2016]],1),"0.0")</f>
        <v>electricity_archetype_4.4</v>
      </c>
      <c r="B163" s="5">
        <f t="shared" si="24"/>
        <v>4.4</v>
      </c>
      <c r="C163" s="5">
        <f t="shared" si="29"/>
        <v>4.4</v>
      </c>
      <c r="D163" s="5">
        <f t="shared" si="29"/>
        <v>4.4</v>
      </c>
      <c r="E163" s="5">
        <f t="shared" si="29"/>
        <v>4.29</v>
      </c>
      <c r="F163" s="5">
        <f t="shared" si="29"/>
        <v>4.03</v>
      </c>
      <c r="G163" s="5">
        <f t="shared" si="29"/>
        <v>4.11</v>
      </c>
      <c r="H163" s="5">
        <f t="shared" si="29"/>
        <v>3.98</v>
      </c>
      <c r="I163" s="5">
        <f t="shared" si="29"/>
        <v>3.76</v>
      </c>
      <c r="J163" s="5">
        <f t="shared" si="29"/>
        <v>3.65</v>
      </c>
      <c r="K163" s="5">
        <f t="shared" si="29"/>
        <v>3.53</v>
      </c>
      <c r="L163" s="5">
        <f t="shared" si="29"/>
        <v>3.45</v>
      </c>
      <c r="M163" s="5">
        <f t="shared" si="29"/>
        <v>3.44</v>
      </c>
      <c r="N163" s="5">
        <f t="shared" si="29"/>
        <v>3.29</v>
      </c>
      <c r="O163" s="5">
        <f t="shared" si="29"/>
        <v>3.14</v>
      </c>
      <c r="P163" s="5">
        <f t="shared" si="29"/>
        <v>3.01</v>
      </c>
      <c r="Q163" s="5">
        <f t="shared" si="29"/>
        <v>2.53</v>
      </c>
      <c r="R163" s="5">
        <f t="shared" si="29"/>
        <v>1.93</v>
      </c>
      <c r="S163" s="5">
        <f t="shared" si="28"/>
        <v>1.76</v>
      </c>
      <c r="T163" s="5">
        <f t="shared" si="28"/>
        <v>1.32</v>
      </c>
      <c r="U163" s="5">
        <f t="shared" si="28"/>
        <v>1.01</v>
      </c>
      <c r="V163" s="5">
        <f t="shared" si="28"/>
        <v>0.96</v>
      </c>
      <c r="W163" s="5">
        <f t="shared" si="28"/>
        <v>0.88</v>
      </c>
      <c r="X163" s="5">
        <f t="shared" si="28"/>
        <v>0.82</v>
      </c>
      <c r="Y163" s="5">
        <f t="shared" si="28"/>
        <v>0.77</v>
      </c>
      <c r="Z163" s="5">
        <f t="shared" si="28"/>
        <v>0.78</v>
      </c>
      <c r="AA163" s="5">
        <f t="shared" si="28"/>
        <v>0.77</v>
      </c>
      <c r="AB163" s="5">
        <f t="shared" si="28"/>
        <v>0.76</v>
      </c>
      <c r="AC163" s="5">
        <f t="shared" si="28"/>
        <v>0.72</v>
      </c>
      <c r="AD163" s="5">
        <f t="shared" si="28"/>
        <v>0.71</v>
      </c>
      <c r="AE163" s="5">
        <f t="shared" si="28"/>
        <v>0.7</v>
      </c>
      <c r="AF163" s="5">
        <f t="shared" si="28"/>
        <v>0.68</v>
      </c>
      <c r="AG163" s="5">
        <f t="shared" si="28"/>
        <v>0.68</v>
      </c>
      <c r="AH163" s="5">
        <f t="shared" si="27"/>
        <v>0.67</v>
      </c>
      <c r="AI163" s="5">
        <f t="shared" si="27"/>
        <v>0.66</v>
      </c>
      <c r="AJ163" s="5">
        <f t="shared" si="27"/>
        <v>0.66</v>
      </c>
    </row>
    <row r="164" spans="1:36">
      <c r="A164" t="str">
        <f>"electricity_archetype_"&amp;TEXT(ROUND(Table2[[#This Row],[2016]],1),"0.0")</f>
        <v>electricity_archetype_4.3</v>
      </c>
      <c r="B164" s="5">
        <f t="shared" si="24"/>
        <v>4.3</v>
      </c>
      <c r="C164" s="5">
        <f t="shared" si="29"/>
        <v>4.3</v>
      </c>
      <c r="D164" s="5">
        <f t="shared" si="29"/>
        <v>4.3</v>
      </c>
      <c r="E164" s="5">
        <f t="shared" si="29"/>
        <v>4.2</v>
      </c>
      <c r="F164" s="5">
        <f t="shared" si="29"/>
        <v>3.94</v>
      </c>
      <c r="G164" s="5">
        <f t="shared" si="29"/>
        <v>4.02</v>
      </c>
      <c r="H164" s="5">
        <f t="shared" si="29"/>
        <v>3.89</v>
      </c>
      <c r="I164" s="5">
        <f t="shared" si="29"/>
        <v>3.68</v>
      </c>
      <c r="J164" s="5">
        <f t="shared" si="29"/>
        <v>3.57</v>
      </c>
      <c r="K164" s="5">
        <f t="shared" si="29"/>
        <v>3.46</v>
      </c>
      <c r="L164" s="5">
        <f t="shared" si="29"/>
        <v>3.38</v>
      </c>
      <c r="M164" s="5">
        <f t="shared" si="29"/>
        <v>3.37</v>
      </c>
      <c r="N164" s="5">
        <f t="shared" si="29"/>
        <v>3.22</v>
      </c>
      <c r="O164" s="5">
        <f t="shared" si="29"/>
        <v>3.07</v>
      </c>
      <c r="P164" s="5">
        <f t="shared" si="29"/>
        <v>2.94</v>
      </c>
      <c r="Q164" s="5">
        <f t="shared" si="29"/>
        <v>2.48</v>
      </c>
      <c r="R164" s="5">
        <f t="shared" si="29"/>
        <v>1.89</v>
      </c>
      <c r="S164" s="5">
        <f t="shared" si="28"/>
        <v>1.73</v>
      </c>
      <c r="T164" s="5">
        <f t="shared" si="28"/>
        <v>1.3</v>
      </c>
      <c r="U164" s="5">
        <f t="shared" si="28"/>
        <v>1</v>
      </c>
      <c r="V164" s="5">
        <f t="shared" si="28"/>
        <v>0.95</v>
      </c>
      <c r="W164" s="5">
        <f t="shared" si="28"/>
        <v>0.88</v>
      </c>
      <c r="X164" s="5">
        <f t="shared" si="28"/>
        <v>0.82</v>
      </c>
      <c r="Y164" s="5">
        <f t="shared" si="28"/>
        <v>0.77</v>
      </c>
      <c r="Z164" s="5">
        <f t="shared" si="28"/>
        <v>0.78</v>
      </c>
      <c r="AA164" s="5">
        <f t="shared" si="28"/>
        <v>0.77</v>
      </c>
      <c r="AB164" s="5">
        <f t="shared" si="28"/>
        <v>0.76</v>
      </c>
      <c r="AC164" s="5">
        <f t="shared" si="28"/>
        <v>0.71</v>
      </c>
      <c r="AD164" s="5">
        <f t="shared" si="28"/>
        <v>0.71</v>
      </c>
      <c r="AE164" s="5">
        <f t="shared" si="28"/>
        <v>0.7</v>
      </c>
      <c r="AF164" s="5">
        <f t="shared" si="28"/>
        <v>0.68</v>
      </c>
      <c r="AG164" s="5">
        <f t="shared" si="28"/>
        <v>0.68</v>
      </c>
      <c r="AH164" s="5">
        <f t="shared" si="27"/>
        <v>0.67</v>
      </c>
      <c r="AI164" s="5">
        <f t="shared" si="27"/>
        <v>0.66</v>
      </c>
      <c r="AJ164" s="5">
        <f t="shared" si="27"/>
        <v>0.66</v>
      </c>
    </row>
    <row r="165" spans="1:36">
      <c r="A165" t="str">
        <f>"electricity_archetype_"&amp;TEXT(ROUND(Table2[[#This Row],[2016]],1),"0.0")</f>
        <v>electricity_archetype_4.2</v>
      </c>
      <c r="B165" s="5">
        <f t="shared" si="24"/>
        <v>4.2</v>
      </c>
      <c r="C165" s="5">
        <f t="shared" si="29"/>
        <v>4.2</v>
      </c>
      <c r="D165" s="5">
        <f t="shared" si="29"/>
        <v>4.2</v>
      </c>
      <c r="E165" s="5">
        <f t="shared" si="29"/>
        <v>4.1</v>
      </c>
      <c r="F165" s="5">
        <f t="shared" si="29"/>
        <v>3.85</v>
      </c>
      <c r="G165" s="5">
        <f t="shared" si="29"/>
        <v>3.92</v>
      </c>
      <c r="H165" s="5">
        <f t="shared" si="29"/>
        <v>3.8</v>
      </c>
      <c r="I165" s="5">
        <f t="shared" si="29"/>
        <v>3.6</v>
      </c>
      <c r="J165" s="5">
        <f t="shared" si="29"/>
        <v>3.49</v>
      </c>
      <c r="K165" s="5">
        <f t="shared" si="29"/>
        <v>3.38</v>
      </c>
      <c r="L165" s="5">
        <f t="shared" si="29"/>
        <v>3.3</v>
      </c>
      <c r="M165" s="5">
        <f t="shared" si="29"/>
        <v>3.29</v>
      </c>
      <c r="N165" s="5">
        <f t="shared" si="29"/>
        <v>3.15</v>
      </c>
      <c r="O165" s="5">
        <f t="shared" si="29"/>
        <v>3</v>
      </c>
      <c r="P165" s="5">
        <f t="shared" si="29"/>
        <v>2.88</v>
      </c>
      <c r="Q165" s="5">
        <f t="shared" si="29"/>
        <v>2.43</v>
      </c>
      <c r="R165" s="5">
        <f t="shared" si="29"/>
        <v>1.86</v>
      </c>
      <c r="S165" s="5">
        <f t="shared" si="28"/>
        <v>1.7</v>
      </c>
      <c r="T165" s="5">
        <f t="shared" si="28"/>
        <v>1.28</v>
      </c>
      <c r="U165" s="5">
        <f t="shared" si="28"/>
        <v>0.99</v>
      </c>
      <c r="V165" s="5">
        <f t="shared" si="28"/>
        <v>0.94</v>
      </c>
      <c r="W165" s="5">
        <f t="shared" si="28"/>
        <v>0.87</v>
      </c>
      <c r="X165" s="5">
        <f t="shared" si="28"/>
        <v>0.81</v>
      </c>
      <c r="Y165" s="5">
        <f t="shared" si="28"/>
        <v>0.76</v>
      </c>
      <c r="Z165" s="5">
        <f t="shared" si="28"/>
        <v>0.78</v>
      </c>
      <c r="AA165" s="5">
        <f t="shared" si="28"/>
        <v>0.76</v>
      </c>
      <c r="AB165" s="5">
        <f t="shared" si="28"/>
        <v>0.76</v>
      </c>
      <c r="AC165" s="5">
        <f t="shared" si="28"/>
        <v>0.71</v>
      </c>
      <c r="AD165" s="5">
        <f t="shared" si="28"/>
        <v>0.71</v>
      </c>
      <c r="AE165" s="5">
        <f t="shared" si="28"/>
        <v>0.7</v>
      </c>
      <c r="AF165" s="5">
        <f t="shared" si="28"/>
        <v>0.68</v>
      </c>
      <c r="AG165" s="5">
        <f t="shared" si="28"/>
        <v>0.68</v>
      </c>
      <c r="AH165" s="5">
        <f t="shared" si="27"/>
        <v>0.67</v>
      </c>
      <c r="AI165" s="5">
        <f t="shared" si="27"/>
        <v>0.66</v>
      </c>
      <c r="AJ165" s="5">
        <f t="shared" si="27"/>
        <v>0.66</v>
      </c>
    </row>
    <row r="166" spans="1:36">
      <c r="A166" t="str">
        <f>"electricity_archetype_"&amp;TEXT(ROUND(Table2[[#This Row],[2016]],1),"0.0")</f>
        <v>electricity_archetype_4.1</v>
      </c>
      <c r="B166" s="5">
        <f t="shared" si="24"/>
        <v>4.1</v>
      </c>
      <c r="C166" s="5">
        <f t="shared" si="29"/>
        <v>4.1</v>
      </c>
      <c r="D166" s="5">
        <f t="shared" si="29"/>
        <v>4.1</v>
      </c>
      <c r="E166" s="5">
        <f t="shared" si="29"/>
        <v>4</v>
      </c>
      <c r="F166" s="5">
        <f t="shared" si="29"/>
        <v>3.76</v>
      </c>
      <c r="G166" s="5">
        <f t="shared" si="29"/>
        <v>3.83</v>
      </c>
      <c r="H166" s="5">
        <f t="shared" si="29"/>
        <v>3.71</v>
      </c>
      <c r="I166" s="5">
        <f t="shared" si="29"/>
        <v>3.52</v>
      </c>
      <c r="J166" s="5">
        <f t="shared" si="29"/>
        <v>3.41</v>
      </c>
      <c r="K166" s="5">
        <f t="shared" si="29"/>
        <v>3.3</v>
      </c>
      <c r="L166" s="5">
        <f t="shared" si="29"/>
        <v>3.23</v>
      </c>
      <c r="M166" s="5">
        <f t="shared" si="29"/>
        <v>3.22</v>
      </c>
      <c r="N166" s="5">
        <f t="shared" si="29"/>
        <v>3.08</v>
      </c>
      <c r="O166" s="5">
        <f t="shared" si="29"/>
        <v>2.94</v>
      </c>
      <c r="P166" s="5">
        <f t="shared" si="29"/>
        <v>2.82</v>
      </c>
      <c r="Q166" s="5">
        <f t="shared" si="29"/>
        <v>2.38</v>
      </c>
      <c r="R166" s="5">
        <f t="shared" si="29"/>
        <v>1.82</v>
      </c>
      <c r="S166" s="5">
        <f t="shared" si="28"/>
        <v>1.67</v>
      </c>
      <c r="T166" s="5">
        <f t="shared" si="28"/>
        <v>1.26</v>
      </c>
      <c r="U166" s="5">
        <f t="shared" si="28"/>
        <v>0.98</v>
      </c>
      <c r="V166" s="5">
        <f t="shared" si="28"/>
        <v>0.93</v>
      </c>
      <c r="W166" s="5">
        <f t="shared" si="28"/>
        <v>0.86</v>
      </c>
      <c r="X166" s="5">
        <f t="shared" si="28"/>
        <v>0.81</v>
      </c>
      <c r="Y166" s="5">
        <f t="shared" si="28"/>
        <v>0.76</v>
      </c>
      <c r="Z166" s="5">
        <f t="shared" si="28"/>
        <v>0.77</v>
      </c>
      <c r="AA166" s="5">
        <f t="shared" si="28"/>
        <v>0.76</v>
      </c>
      <c r="AB166" s="5">
        <f t="shared" si="28"/>
        <v>0.76</v>
      </c>
      <c r="AC166" s="5">
        <f t="shared" si="28"/>
        <v>0.71</v>
      </c>
      <c r="AD166" s="5">
        <f t="shared" si="28"/>
        <v>0.7</v>
      </c>
      <c r="AE166" s="5">
        <f t="shared" si="28"/>
        <v>0.7</v>
      </c>
      <c r="AF166" s="5">
        <f t="shared" si="28"/>
        <v>0.68</v>
      </c>
      <c r="AG166" s="5">
        <f t="shared" si="28"/>
        <v>0.68</v>
      </c>
      <c r="AH166" s="5">
        <f t="shared" si="27"/>
        <v>0.67</v>
      </c>
      <c r="AI166" s="5">
        <f t="shared" si="27"/>
        <v>0.66</v>
      </c>
      <c r="AJ166" s="5">
        <f t="shared" si="27"/>
        <v>0.66</v>
      </c>
    </row>
    <row r="167" spans="1:36">
      <c r="A167" t="str">
        <f>"electricity_archetype_"&amp;TEXT(ROUND(Table2[[#This Row],[2016]],1),"0.0")</f>
        <v>electricity_archetype_4.0</v>
      </c>
      <c r="B167" s="5">
        <f t="shared" si="24"/>
        <v>4</v>
      </c>
      <c r="C167" s="5">
        <f t="shared" si="29"/>
        <v>4</v>
      </c>
      <c r="D167" s="5">
        <f t="shared" si="29"/>
        <v>4</v>
      </c>
      <c r="E167" s="5">
        <f t="shared" si="29"/>
        <v>3.9</v>
      </c>
      <c r="F167" s="5">
        <f t="shared" si="29"/>
        <v>3.67</v>
      </c>
      <c r="G167" s="5">
        <f t="shared" si="29"/>
        <v>3.74</v>
      </c>
      <c r="H167" s="5">
        <f t="shared" si="29"/>
        <v>3.62</v>
      </c>
      <c r="I167" s="5">
        <f t="shared" si="29"/>
        <v>3.43</v>
      </c>
      <c r="J167" s="5">
        <f t="shared" si="29"/>
        <v>3.33</v>
      </c>
      <c r="K167" s="5">
        <f t="shared" si="29"/>
        <v>3.23</v>
      </c>
      <c r="L167" s="5">
        <f t="shared" si="29"/>
        <v>3.15</v>
      </c>
      <c r="M167" s="5">
        <f t="shared" si="29"/>
        <v>3.14</v>
      </c>
      <c r="N167" s="5">
        <f t="shared" si="29"/>
        <v>3.01</v>
      </c>
      <c r="O167" s="5">
        <f t="shared" si="29"/>
        <v>2.87</v>
      </c>
      <c r="P167" s="5">
        <f t="shared" si="29"/>
        <v>2.75</v>
      </c>
      <c r="Q167" s="5">
        <f t="shared" si="29"/>
        <v>2.33</v>
      </c>
      <c r="R167" s="5">
        <f t="shared" si="29"/>
        <v>1.79</v>
      </c>
      <c r="S167" s="5">
        <f t="shared" si="28"/>
        <v>1.64</v>
      </c>
      <c r="T167" s="5">
        <f t="shared" si="28"/>
        <v>1.24</v>
      </c>
      <c r="U167" s="5">
        <f t="shared" si="28"/>
        <v>0.97</v>
      </c>
      <c r="V167" s="5">
        <f t="shared" si="28"/>
        <v>0.93</v>
      </c>
      <c r="W167" s="5">
        <f t="shared" si="28"/>
        <v>0.86</v>
      </c>
      <c r="X167" s="5">
        <f t="shared" si="28"/>
        <v>0.81</v>
      </c>
      <c r="Y167" s="5">
        <f t="shared" si="28"/>
        <v>0.76</v>
      </c>
      <c r="Z167" s="5">
        <f t="shared" si="28"/>
        <v>0.77</v>
      </c>
      <c r="AA167" s="5">
        <f t="shared" si="28"/>
        <v>0.76</v>
      </c>
      <c r="AB167" s="5">
        <f t="shared" si="28"/>
        <v>0.75</v>
      </c>
      <c r="AC167" s="5">
        <f t="shared" si="28"/>
        <v>0.71</v>
      </c>
      <c r="AD167" s="5">
        <f t="shared" si="28"/>
        <v>0.7</v>
      </c>
      <c r="AE167" s="5">
        <f t="shared" si="28"/>
        <v>0.69</v>
      </c>
      <c r="AF167" s="5">
        <f t="shared" si="28"/>
        <v>0.68</v>
      </c>
      <c r="AG167" s="5">
        <f t="shared" si="28"/>
        <v>0.68</v>
      </c>
      <c r="AH167" s="5">
        <f t="shared" si="27"/>
        <v>0.67</v>
      </c>
      <c r="AI167" s="5">
        <f t="shared" si="27"/>
        <v>0.66</v>
      </c>
      <c r="AJ167" s="5">
        <f t="shared" si="27"/>
        <v>0.66</v>
      </c>
    </row>
    <row r="168" spans="1:36">
      <c r="A168" t="str">
        <f>"electricity_archetype_"&amp;TEXT(ROUND(Table2[[#This Row],[2016]],1),"0.0")</f>
        <v>electricity_archetype_3.9</v>
      </c>
      <c r="B168" s="5">
        <f t="shared" si="24"/>
        <v>3.9</v>
      </c>
      <c r="C168" s="5">
        <f t="shared" si="29"/>
        <v>3.9</v>
      </c>
      <c r="D168" s="5">
        <f t="shared" si="29"/>
        <v>3.9</v>
      </c>
      <c r="E168" s="5">
        <f t="shared" si="29"/>
        <v>3.81</v>
      </c>
      <c r="F168" s="5">
        <f t="shared" si="29"/>
        <v>3.58</v>
      </c>
      <c r="G168" s="5">
        <f t="shared" si="29"/>
        <v>3.65</v>
      </c>
      <c r="H168" s="5">
        <f t="shared" si="29"/>
        <v>3.53</v>
      </c>
      <c r="I168" s="5">
        <f t="shared" si="29"/>
        <v>3.35</v>
      </c>
      <c r="J168" s="5">
        <f t="shared" si="29"/>
        <v>3.25</v>
      </c>
      <c r="K168" s="5">
        <f t="shared" si="29"/>
        <v>3.15</v>
      </c>
      <c r="L168" s="5">
        <f t="shared" si="29"/>
        <v>3.08</v>
      </c>
      <c r="M168" s="5">
        <f t="shared" si="29"/>
        <v>3.07</v>
      </c>
      <c r="N168" s="5">
        <f t="shared" si="29"/>
        <v>2.94</v>
      </c>
      <c r="O168" s="5">
        <f t="shared" si="29"/>
        <v>2.81</v>
      </c>
      <c r="P168" s="5">
        <f t="shared" si="29"/>
        <v>2.69</v>
      </c>
      <c r="Q168" s="5">
        <f t="shared" si="29"/>
        <v>2.28</v>
      </c>
      <c r="R168" s="5">
        <f t="shared" si="29"/>
        <v>1.76</v>
      </c>
      <c r="S168" s="5">
        <f t="shared" si="28"/>
        <v>1.61</v>
      </c>
      <c r="T168" s="5">
        <f t="shared" si="28"/>
        <v>1.23</v>
      </c>
      <c r="U168" s="5">
        <f t="shared" si="28"/>
        <v>0.96</v>
      </c>
      <c r="V168" s="5">
        <f t="shared" si="28"/>
        <v>0.92</v>
      </c>
      <c r="W168" s="5">
        <f t="shared" si="28"/>
        <v>0.85</v>
      </c>
      <c r="X168" s="5">
        <f t="shared" si="28"/>
        <v>0.8</v>
      </c>
      <c r="Y168" s="5">
        <f t="shared" si="28"/>
        <v>0.75</v>
      </c>
      <c r="Z168" s="5">
        <f t="shared" si="28"/>
        <v>0.77</v>
      </c>
      <c r="AA168" s="5">
        <f t="shared" si="28"/>
        <v>0.76</v>
      </c>
      <c r="AB168" s="5">
        <f t="shared" si="28"/>
        <v>0.75</v>
      </c>
      <c r="AC168" s="5">
        <f t="shared" si="28"/>
        <v>0.71</v>
      </c>
      <c r="AD168" s="5">
        <f t="shared" si="28"/>
        <v>0.7</v>
      </c>
      <c r="AE168" s="5">
        <f t="shared" si="28"/>
        <v>0.69</v>
      </c>
      <c r="AF168" s="5">
        <f t="shared" si="28"/>
        <v>0.68</v>
      </c>
      <c r="AG168" s="5">
        <f t="shared" si="28"/>
        <v>0.67</v>
      </c>
      <c r="AH168" s="5">
        <f t="shared" si="27"/>
        <v>0.67</v>
      </c>
      <c r="AI168" s="5">
        <f t="shared" si="27"/>
        <v>0.66</v>
      </c>
      <c r="AJ168" s="5">
        <f t="shared" si="27"/>
        <v>0.66</v>
      </c>
    </row>
    <row r="169" spans="1:36">
      <c r="A169" t="str">
        <f>"electricity_archetype_"&amp;TEXT(ROUND(Table2[[#This Row],[2016]],1),"0.0")</f>
        <v>electricity_archetype_3.8</v>
      </c>
      <c r="B169" s="5">
        <f t="shared" si="24"/>
        <v>3.8</v>
      </c>
      <c r="C169" s="5">
        <f t="shared" si="29"/>
        <v>3.8</v>
      </c>
      <c r="D169" s="5">
        <f t="shared" si="29"/>
        <v>3.8</v>
      </c>
      <c r="E169" s="5">
        <f t="shared" si="29"/>
        <v>3.71</v>
      </c>
      <c r="F169" s="5">
        <f t="shared" si="29"/>
        <v>3.49</v>
      </c>
      <c r="G169" s="5">
        <f t="shared" si="29"/>
        <v>3.56</v>
      </c>
      <c r="H169" s="5">
        <f t="shared" si="29"/>
        <v>3.44</v>
      </c>
      <c r="I169" s="5">
        <f t="shared" si="29"/>
        <v>3.27</v>
      </c>
      <c r="J169" s="5">
        <f t="shared" si="29"/>
        <v>3.17</v>
      </c>
      <c r="K169" s="5">
        <f t="shared" si="29"/>
        <v>3.07</v>
      </c>
      <c r="L169" s="5">
        <f t="shared" si="29"/>
        <v>3</v>
      </c>
      <c r="M169" s="5">
        <f t="shared" si="29"/>
        <v>2.99</v>
      </c>
      <c r="N169" s="5">
        <f t="shared" si="29"/>
        <v>2.87</v>
      </c>
      <c r="O169" s="5">
        <f t="shared" si="29"/>
        <v>2.74</v>
      </c>
      <c r="P169" s="5">
        <f t="shared" si="29"/>
        <v>2.63</v>
      </c>
      <c r="Q169" s="5">
        <f t="shared" si="29"/>
        <v>2.23</v>
      </c>
      <c r="R169" s="5">
        <f t="shared" si="29"/>
        <v>1.72</v>
      </c>
      <c r="S169" s="5">
        <f t="shared" si="28"/>
        <v>1.58</v>
      </c>
      <c r="T169" s="5">
        <f t="shared" si="28"/>
        <v>1.21</v>
      </c>
      <c r="U169" s="5">
        <f t="shared" si="28"/>
        <v>0.95</v>
      </c>
      <c r="V169" s="5">
        <f t="shared" si="28"/>
        <v>0.91</v>
      </c>
      <c r="W169" s="5">
        <f t="shared" si="28"/>
        <v>0.85</v>
      </c>
      <c r="X169" s="5">
        <f t="shared" si="28"/>
        <v>0.8</v>
      </c>
      <c r="Y169" s="5">
        <f t="shared" si="28"/>
        <v>0.75</v>
      </c>
      <c r="Z169" s="5">
        <f t="shared" si="28"/>
        <v>0.76</v>
      </c>
      <c r="AA169" s="5">
        <f t="shared" si="28"/>
        <v>0.75</v>
      </c>
      <c r="AB169" s="5">
        <f t="shared" si="28"/>
        <v>0.75</v>
      </c>
      <c r="AC169" s="5">
        <f t="shared" si="28"/>
        <v>0.71</v>
      </c>
      <c r="AD169" s="5">
        <f t="shared" si="28"/>
        <v>0.7</v>
      </c>
      <c r="AE169" s="5">
        <f t="shared" si="28"/>
        <v>0.69</v>
      </c>
      <c r="AF169" s="5">
        <f t="shared" si="28"/>
        <v>0.68</v>
      </c>
      <c r="AG169" s="5">
        <f t="shared" si="28"/>
        <v>0.67</v>
      </c>
      <c r="AH169" s="5">
        <f t="shared" si="27"/>
        <v>0.67</v>
      </c>
      <c r="AI169" s="5">
        <f t="shared" si="27"/>
        <v>0.66</v>
      </c>
      <c r="AJ169" s="5">
        <f t="shared" si="27"/>
        <v>0.66</v>
      </c>
    </row>
    <row r="170" spans="1:36">
      <c r="A170" t="str">
        <f>"electricity_archetype_"&amp;TEXT(ROUND(Table2[[#This Row],[2016]],1),"0.0")</f>
        <v>electricity_archetype_3.7</v>
      </c>
      <c r="B170" s="5">
        <f t="shared" si="24"/>
        <v>3.7</v>
      </c>
      <c r="C170" s="5">
        <f t="shared" si="29"/>
        <v>3.7</v>
      </c>
      <c r="D170" s="5">
        <f t="shared" si="29"/>
        <v>3.7</v>
      </c>
      <c r="E170" s="5">
        <f t="shared" si="29"/>
        <v>3.61</v>
      </c>
      <c r="F170" s="5">
        <f t="shared" si="29"/>
        <v>3.4</v>
      </c>
      <c r="G170" s="5">
        <f t="shared" si="29"/>
        <v>3.46</v>
      </c>
      <c r="H170" s="5">
        <f t="shared" si="29"/>
        <v>3.36</v>
      </c>
      <c r="I170" s="5">
        <f t="shared" si="29"/>
        <v>3.18</v>
      </c>
      <c r="J170" s="5">
        <f t="shared" si="29"/>
        <v>3.09</v>
      </c>
      <c r="K170" s="5">
        <f t="shared" si="29"/>
        <v>3</v>
      </c>
      <c r="L170" s="5">
        <f t="shared" si="29"/>
        <v>2.93</v>
      </c>
      <c r="M170" s="5">
        <f t="shared" si="29"/>
        <v>2.92</v>
      </c>
      <c r="N170" s="5">
        <f t="shared" si="29"/>
        <v>2.8</v>
      </c>
      <c r="O170" s="5">
        <f t="shared" si="29"/>
        <v>2.67</v>
      </c>
      <c r="P170" s="5">
        <f t="shared" si="29"/>
        <v>2.57</v>
      </c>
      <c r="Q170" s="5">
        <f t="shared" si="29"/>
        <v>2.18</v>
      </c>
      <c r="R170" s="5">
        <f t="shared" si="29"/>
        <v>1.69</v>
      </c>
      <c r="S170" s="5">
        <f t="shared" si="28"/>
        <v>1.56</v>
      </c>
      <c r="T170" s="5">
        <f t="shared" si="28"/>
        <v>1.19</v>
      </c>
      <c r="U170" s="5">
        <f t="shared" si="28"/>
        <v>0.94</v>
      </c>
      <c r="V170" s="5">
        <f t="shared" si="28"/>
        <v>0.9</v>
      </c>
      <c r="W170" s="5">
        <f t="shared" si="28"/>
        <v>0.84</v>
      </c>
      <c r="X170" s="5">
        <f t="shared" si="28"/>
        <v>0.79</v>
      </c>
      <c r="Y170" s="5">
        <f t="shared" si="28"/>
        <v>0.75</v>
      </c>
      <c r="Z170" s="5">
        <f t="shared" si="28"/>
        <v>0.76</v>
      </c>
      <c r="AA170" s="5">
        <f t="shared" si="28"/>
        <v>0.75</v>
      </c>
      <c r="AB170" s="5">
        <f t="shared" si="28"/>
        <v>0.74</v>
      </c>
      <c r="AC170" s="5">
        <f t="shared" si="28"/>
        <v>0.71</v>
      </c>
      <c r="AD170" s="5">
        <f t="shared" si="28"/>
        <v>0.7</v>
      </c>
      <c r="AE170" s="5">
        <f t="shared" si="28"/>
        <v>0.69</v>
      </c>
      <c r="AF170" s="5">
        <f t="shared" si="28"/>
        <v>0.68</v>
      </c>
      <c r="AG170" s="5">
        <f t="shared" si="28"/>
        <v>0.67</v>
      </c>
      <c r="AH170" s="5">
        <f t="shared" si="27"/>
        <v>0.67</v>
      </c>
      <c r="AI170" s="5">
        <f t="shared" si="27"/>
        <v>0.66</v>
      </c>
      <c r="AJ170" s="5">
        <f t="shared" si="27"/>
        <v>0.66</v>
      </c>
    </row>
    <row r="171" spans="1:36">
      <c r="A171" t="str">
        <f>"electricity_archetype_"&amp;TEXT(ROUND(Table2[[#This Row],[2016]],1),"0.0")</f>
        <v>electricity_archetype_3.6</v>
      </c>
      <c r="B171" s="5">
        <f t="shared" si="24"/>
        <v>3.6</v>
      </c>
      <c r="C171" s="5">
        <f t="shared" si="29"/>
        <v>3.6</v>
      </c>
      <c r="D171" s="5">
        <f t="shared" si="29"/>
        <v>3.6</v>
      </c>
      <c r="E171" s="5">
        <f t="shared" si="29"/>
        <v>3.52</v>
      </c>
      <c r="F171" s="5">
        <f t="shared" si="29"/>
        <v>3.31</v>
      </c>
      <c r="G171" s="5">
        <f t="shared" si="29"/>
        <v>3.37</v>
      </c>
      <c r="H171" s="5">
        <f t="shared" si="29"/>
        <v>3.27</v>
      </c>
      <c r="I171" s="5">
        <f t="shared" si="29"/>
        <v>3.1</v>
      </c>
      <c r="J171" s="5">
        <f t="shared" si="29"/>
        <v>3.01</v>
      </c>
      <c r="K171" s="5">
        <f t="shared" si="29"/>
        <v>2.92</v>
      </c>
      <c r="L171" s="5">
        <f t="shared" si="29"/>
        <v>2.85</v>
      </c>
      <c r="M171" s="5">
        <f t="shared" si="29"/>
        <v>2.85</v>
      </c>
      <c r="N171" s="5">
        <f t="shared" si="29"/>
        <v>2.73</v>
      </c>
      <c r="O171" s="5">
        <f t="shared" si="29"/>
        <v>2.61</v>
      </c>
      <c r="P171" s="5">
        <f t="shared" si="29"/>
        <v>2.5</v>
      </c>
      <c r="Q171" s="5">
        <f t="shared" si="29"/>
        <v>2.13</v>
      </c>
      <c r="R171" s="5">
        <f t="shared" si="29"/>
        <v>1.65</v>
      </c>
      <c r="S171" s="5">
        <f t="shared" si="28"/>
        <v>1.53</v>
      </c>
      <c r="T171" s="5">
        <f t="shared" si="28"/>
        <v>1.17</v>
      </c>
      <c r="U171" s="5">
        <f t="shared" si="28"/>
        <v>0.93</v>
      </c>
      <c r="V171" s="5">
        <f t="shared" si="28"/>
        <v>0.89</v>
      </c>
      <c r="W171" s="5">
        <f t="shared" si="28"/>
        <v>0.83</v>
      </c>
      <c r="X171" s="5">
        <f t="shared" si="28"/>
        <v>0.79</v>
      </c>
      <c r="Y171" s="5">
        <f t="shared" si="28"/>
        <v>0.74</v>
      </c>
      <c r="Z171" s="5">
        <f t="shared" si="28"/>
        <v>0.76</v>
      </c>
      <c r="AA171" s="5">
        <f t="shared" si="28"/>
        <v>0.75</v>
      </c>
      <c r="AB171" s="5">
        <f t="shared" si="28"/>
        <v>0.74</v>
      </c>
      <c r="AC171" s="5">
        <f t="shared" si="28"/>
        <v>0.7</v>
      </c>
      <c r="AD171" s="5">
        <f t="shared" si="28"/>
        <v>0.7</v>
      </c>
      <c r="AE171" s="5">
        <f t="shared" si="28"/>
        <v>0.69</v>
      </c>
      <c r="AF171" s="5">
        <f t="shared" si="28"/>
        <v>0.68</v>
      </c>
      <c r="AG171" s="5">
        <f t="shared" si="28"/>
        <v>0.67</v>
      </c>
      <c r="AH171" s="5">
        <f t="shared" si="27"/>
        <v>0.67</v>
      </c>
      <c r="AI171" s="5">
        <f t="shared" si="27"/>
        <v>0.66</v>
      </c>
      <c r="AJ171" s="5">
        <f t="shared" si="27"/>
        <v>0.66</v>
      </c>
    </row>
    <row r="172" spans="1:36">
      <c r="A172" t="str">
        <f>"electricity_archetype_"&amp;TEXT(ROUND(Table2[[#This Row],[2016]],1),"0.0")</f>
        <v>electricity_archetype_3.5</v>
      </c>
      <c r="B172" s="5">
        <f t="shared" si="24"/>
        <v>3.5</v>
      </c>
      <c r="C172" s="5">
        <f t="shared" si="29"/>
        <v>3.5</v>
      </c>
      <c r="D172" s="5">
        <f t="shared" si="29"/>
        <v>3.5</v>
      </c>
      <c r="E172" s="5">
        <f t="shared" si="29"/>
        <v>3.42</v>
      </c>
      <c r="F172" s="5">
        <f t="shared" si="29"/>
        <v>3.22</v>
      </c>
      <c r="G172" s="5">
        <f t="shared" si="29"/>
        <v>3.28</v>
      </c>
      <c r="H172" s="5">
        <f t="shared" si="29"/>
        <v>3.18</v>
      </c>
      <c r="I172" s="5">
        <f t="shared" si="29"/>
        <v>3.02</v>
      </c>
      <c r="J172" s="5">
        <f t="shared" si="29"/>
        <v>2.93</v>
      </c>
      <c r="K172" s="5">
        <f t="shared" si="29"/>
        <v>2.84</v>
      </c>
      <c r="L172" s="5">
        <f t="shared" si="29"/>
        <v>2.78</v>
      </c>
      <c r="M172" s="5">
        <f t="shared" si="29"/>
        <v>2.77</v>
      </c>
      <c r="N172" s="5">
        <f t="shared" si="29"/>
        <v>2.66</v>
      </c>
      <c r="O172" s="5">
        <f t="shared" si="29"/>
        <v>2.54</v>
      </c>
      <c r="P172" s="5">
        <f t="shared" si="29"/>
        <v>2.44</v>
      </c>
      <c r="Q172" s="5">
        <f t="shared" si="29"/>
        <v>2.08</v>
      </c>
      <c r="R172" s="5">
        <f t="shared" si="29"/>
        <v>1.62</v>
      </c>
      <c r="S172" s="5">
        <f t="shared" si="28"/>
        <v>1.5</v>
      </c>
      <c r="T172" s="5">
        <f t="shared" si="28"/>
        <v>1.16</v>
      </c>
      <c r="U172" s="5">
        <f t="shared" si="28"/>
        <v>0.93</v>
      </c>
      <c r="V172" s="5">
        <f t="shared" si="28"/>
        <v>0.89</v>
      </c>
      <c r="W172" s="5">
        <f t="shared" si="28"/>
        <v>0.83</v>
      </c>
      <c r="X172" s="5">
        <f t="shared" si="28"/>
        <v>0.78</v>
      </c>
      <c r="Y172" s="5">
        <f t="shared" si="28"/>
        <v>0.74</v>
      </c>
      <c r="Z172" s="5">
        <f t="shared" si="28"/>
        <v>0.75</v>
      </c>
      <c r="AA172" s="5">
        <f t="shared" si="28"/>
        <v>0.74</v>
      </c>
      <c r="AB172" s="5">
        <f t="shared" si="28"/>
        <v>0.74</v>
      </c>
      <c r="AC172" s="5">
        <f t="shared" si="28"/>
        <v>0.7</v>
      </c>
      <c r="AD172" s="5">
        <f t="shared" si="28"/>
        <v>0.7</v>
      </c>
      <c r="AE172" s="5">
        <f t="shared" si="28"/>
        <v>0.69</v>
      </c>
      <c r="AF172" s="5">
        <f t="shared" si="28"/>
        <v>0.68</v>
      </c>
      <c r="AG172" s="5">
        <f t="shared" si="28"/>
        <v>0.67</v>
      </c>
      <c r="AH172" s="5">
        <f t="shared" si="27"/>
        <v>0.67</v>
      </c>
      <c r="AI172" s="5">
        <f t="shared" si="27"/>
        <v>0.66</v>
      </c>
      <c r="AJ172" s="5">
        <f t="shared" si="27"/>
        <v>0.66</v>
      </c>
    </row>
    <row r="173" spans="1:36">
      <c r="A173" t="str">
        <f>"electricity_archetype_"&amp;TEXT(ROUND(Table2[[#This Row],[2016]],1),"0.0")</f>
        <v>electricity_archetype_3.4</v>
      </c>
      <c r="B173" s="5">
        <f t="shared" si="24"/>
        <v>3.4</v>
      </c>
      <c r="C173" s="5">
        <f t="shared" si="29"/>
        <v>3.4</v>
      </c>
      <c r="D173" s="5">
        <f t="shared" si="29"/>
        <v>3.4</v>
      </c>
      <c r="E173" s="5">
        <f t="shared" si="29"/>
        <v>3.32</v>
      </c>
      <c r="F173" s="5">
        <f t="shared" si="29"/>
        <v>3.13</v>
      </c>
      <c r="G173" s="5">
        <f t="shared" si="29"/>
        <v>3.19</v>
      </c>
      <c r="H173" s="5">
        <f t="shared" si="29"/>
        <v>3.09</v>
      </c>
      <c r="I173" s="5">
        <f t="shared" si="29"/>
        <v>2.93</v>
      </c>
      <c r="J173" s="5">
        <f t="shared" si="29"/>
        <v>2.85</v>
      </c>
      <c r="K173" s="5">
        <f t="shared" si="29"/>
        <v>2.77</v>
      </c>
      <c r="L173" s="5">
        <f t="shared" si="29"/>
        <v>2.7</v>
      </c>
      <c r="M173" s="5">
        <f t="shared" si="29"/>
        <v>2.7</v>
      </c>
      <c r="N173" s="5">
        <f t="shared" si="29"/>
        <v>2.59</v>
      </c>
      <c r="O173" s="5">
        <f t="shared" si="29"/>
        <v>2.47</v>
      </c>
      <c r="P173" s="5">
        <f t="shared" si="29"/>
        <v>2.38</v>
      </c>
      <c r="Q173" s="5">
        <f t="shared" si="29"/>
        <v>2.03</v>
      </c>
      <c r="R173" s="5">
        <f t="shared" si="29"/>
        <v>1.59</v>
      </c>
      <c r="S173" s="5">
        <f t="shared" si="28"/>
        <v>1.47</v>
      </c>
      <c r="T173" s="5">
        <f t="shared" si="28"/>
        <v>1.14</v>
      </c>
      <c r="U173" s="5">
        <f t="shared" si="28"/>
        <v>0.92</v>
      </c>
      <c r="V173" s="5">
        <f t="shared" si="28"/>
        <v>0.88</v>
      </c>
      <c r="W173" s="5">
        <f t="shared" si="28"/>
        <v>0.82</v>
      </c>
      <c r="X173" s="5">
        <f t="shared" si="28"/>
        <v>0.78</v>
      </c>
      <c r="Y173" s="5">
        <f t="shared" si="28"/>
        <v>0.74</v>
      </c>
      <c r="Z173" s="5">
        <f t="shared" si="28"/>
        <v>0.75</v>
      </c>
      <c r="AA173" s="5">
        <f t="shared" si="28"/>
        <v>0.74</v>
      </c>
      <c r="AB173" s="5">
        <f t="shared" si="28"/>
        <v>0.74</v>
      </c>
      <c r="AC173" s="5">
        <f t="shared" si="28"/>
        <v>0.7</v>
      </c>
      <c r="AD173" s="5">
        <f t="shared" si="28"/>
        <v>0.69</v>
      </c>
      <c r="AE173" s="5">
        <f t="shared" si="28"/>
        <v>0.69</v>
      </c>
      <c r="AF173" s="5">
        <f t="shared" si="28"/>
        <v>0.68</v>
      </c>
      <c r="AG173" s="5">
        <f t="shared" si="28"/>
        <v>0.67</v>
      </c>
      <c r="AH173" s="5">
        <f t="shared" si="27"/>
        <v>0.67</v>
      </c>
      <c r="AI173" s="5">
        <f t="shared" si="27"/>
        <v>0.66</v>
      </c>
      <c r="AJ173" s="5">
        <f t="shared" si="27"/>
        <v>0.66</v>
      </c>
    </row>
    <row r="174" spans="1:36">
      <c r="A174" t="str">
        <f>"electricity_archetype_"&amp;TEXT(ROUND(Table2[[#This Row],[2016]],1),"0.0")</f>
        <v>electricity_archetype_3.3</v>
      </c>
      <c r="B174" s="5">
        <f t="shared" si="24"/>
        <v>3.3</v>
      </c>
      <c r="C174" s="5">
        <f t="shared" si="29"/>
        <v>3.3</v>
      </c>
      <c r="D174" s="5">
        <f t="shared" si="29"/>
        <v>3.3</v>
      </c>
      <c r="E174" s="5">
        <f t="shared" si="29"/>
        <v>3.22</v>
      </c>
      <c r="F174" s="5">
        <f t="shared" si="29"/>
        <v>3.04</v>
      </c>
      <c r="G174" s="5">
        <f t="shared" si="29"/>
        <v>3.09</v>
      </c>
      <c r="H174" s="5">
        <f t="shared" si="29"/>
        <v>3</v>
      </c>
      <c r="I174" s="5">
        <f t="shared" si="29"/>
        <v>2.85</v>
      </c>
      <c r="J174" s="5">
        <f t="shared" si="29"/>
        <v>2.77</v>
      </c>
      <c r="K174" s="5">
        <f t="shared" si="29"/>
        <v>2.69</v>
      </c>
      <c r="L174" s="5">
        <f t="shared" si="29"/>
        <v>2.63</v>
      </c>
      <c r="M174" s="5">
        <f t="shared" si="29"/>
        <v>2.62</v>
      </c>
      <c r="N174" s="5">
        <f t="shared" si="29"/>
        <v>2.52</v>
      </c>
      <c r="O174" s="5">
        <f t="shared" si="29"/>
        <v>2.41</v>
      </c>
      <c r="P174" s="5">
        <f t="shared" si="29"/>
        <v>2.32</v>
      </c>
      <c r="Q174" s="5">
        <f t="shared" si="29"/>
        <v>1.98</v>
      </c>
      <c r="R174" s="5">
        <f t="shared" ref="R174:AG189" si="30">MROUND((($B174-$AJ$2)*((R$2-$AJ$2)/($B$2-$AJ$2)))+$AJ$2,0.01)</f>
        <v>1.55</v>
      </c>
      <c r="S174" s="5">
        <f t="shared" si="30"/>
        <v>1.44</v>
      </c>
      <c r="T174" s="5">
        <f t="shared" si="30"/>
        <v>1.12</v>
      </c>
      <c r="U174" s="5">
        <f t="shared" si="30"/>
        <v>0.91</v>
      </c>
      <c r="V174" s="5">
        <f t="shared" si="30"/>
        <v>0.87</v>
      </c>
      <c r="W174" s="5">
        <f t="shared" si="30"/>
        <v>0.82</v>
      </c>
      <c r="X174" s="5">
        <f t="shared" si="30"/>
        <v>0.77</v>
      </c>
      <c r="Y174" s="5">
        <f t="shared" si="30"/>
        <v>0.74</v>
      </c>
      <c r="Z174" s="5">
        <f t="shared" si="30"/>
        <v>0.75</v>
      </c>
      <c r="AA174" s="5">
        <f t="shared" si="30"/>
        <v>0.74</v>
      </c>
      <c r="AB174" s="5">
        <f t="shared" si="30"/>
        <v>0.73</v>
      </c>
      <c r="AC174" s="5">
        <f t="shared" si="30"/>
        <v>0.7</v>
      </c>
      <c r="AD174" s="5">
        <f t="shared" si="30"/>
        <v>0.69</v>
      </c>
      <c r="AE174" s="5">
        <f t="shared" si="30"/>
        <v>0.69</v>
      </c>
      <c r="AF174" s="5">
        <f t="shared" si="30"/>
        <v>0.68</v>
      </c>
      <c r="AG174" s="5">
        <f t="shared" si="30"/>
        <v>0.67</v>
      </c>
      <c r="AH174" s="5">
        <f t="shared" si="27"/>
        <v>0.67</v>
      </c>
      <c r="AI174" s="5">
        <f t="shared" si="27"/>
        <v>0.66</v>
      </c>
      <c r="AJ174" s="5">
        <f t="shared" si="27"/>
        <v>0.66</v>
      </c>
    </row>
    <row r="175" spans="1:36">
      <c r="A175" t="str">
        <f>"electricity_archetype_"&amp;TEXT(ROUND(Table2[[#This Row],[2016]],1),"0.0")</f>
        <v>electricity_archetype_3.2</v>
      </c>
      <c r="B175" s="5">
        <f t="shared" si="24"/>
        <v>3.2</v>
      </c>
      <c r="C175" s="5">
        <f t="shared" ref="C175:R190" si="31">MROUND((($B175-$AJ$2)*((C$2-$AJ$2)/($B$2-$AJ$2)))+$AJ$2,0.01)</f>
        <v>3.2</v>
      </c>
      <c r="D175" s="5">
        <f t="shared" si="31"/>
        <v>3.2</v>
      </c>
      <c r="E175" s="5">
        <f t="shared" si="31"/>
        <v>3.13</v>
      </c>
      <c r="F175" s="5">
        <f t="shared" si="31"/>
        <v>2.95</v>
      </c>
      <c r="G175" s="5">
        <f t="shared" si="31"/>
        <v>3</v>
      </c>
      <c r="H175" s="5">
        <f t="shared" si="31"/>
        <v>2.91</v>
      </c>
      <c r="I175" s="5">
        <f t="shared" si="31"/>
        <v>2.77</v>
      </c>
      <c r="J175" s="5">
        <f t="shared" si="31"/>
        <v>2.69</v>
      </c>
      <c r="K175" s="5">
        <f t="shared" si="31"/>
        <v>2.61</v>
      </c>
      <c r="L175" s="5">
        <f t="shared" si="31"/>
        <v>2.55</v>
      </c>
      <c r="M175" s="5">
        <f t="shared" si="31"/>
        <v>2.55</v>
      </c>
      <c r="N175" s="5">
        <f t="shared" si="31"/>
        <v>2.45</v>
      </c>
      <c r="O175" s="5">
        <f t="shared" si="31"/>
        <v>2.34</v>
      </c>
      <c r="P175" s="5">
        <f t="shared" si="31"/>
        <v>2.25</v>
      </c>
      <c r="Q175" s="5">
        <f t="shared" si="31"/>
        <v>1.93</v>
      </c>
      <c r="R175" s="5">
        <f t="shared" si="31"/>
        <v>1.52</v>
      </c>
      <c r="S175" s="5">
        <f t="shared" si="30"/>
        <v>1.41</v>
      </c>
      <c r="T175" s="5">
        <f t="shared" si="30"/>
        <v>1.1</v>
      </c>
      <c r="U175" s="5">
        <f t="shared" si="30"/>
        <v>0.9</v>
      </c>
      <c r="V175" s="5">
        <f t="shared" si="30"/>
        <v>0.86</v>
      </c>
      <c r="W175" s="5">
        <f t="shared" si="30"/>
        <v>0.81</v>
      </c>
      <c r="X175" s="5">
        <f t="shared" si="30"/>
        <v>0.77</v>
      </c>
      <c r="Y175" s="5">
        <f t="shared" si="30"/>
        <v>0.73</v>
      </c>
      <c r="Z175" s="5">
        <f t="shared" si="30"/>
        <v>0.74</v>
      </c>
      <c r="AA175" s="5">
        <f t="shared" si="30"/>
        <v>0.73</v>
      </c>
      <c r="AB175" s="5">
        <f t="shared" si="30"/>
        <v>0.73</v>
      </c>
      <c r="AC175" s="5">
        <f t="shared" si="30"/>
        <v>0.7</v>
      </c>
      <c r="AD175" s="5">
        <f t="shared" si="30"/>
        <v>0.69</v>
      </c>
      <c r="AE175" s="5">
        <f t="shared" si="30"/>
        <v>0.69</v>
      </c>
      <c r="AF175" s="5">
        <f t="shared" si="30"/>
        <v>0.68</v>
      </c>
      <c r="AG175" s="5">
        <f t="shared" si="30"/>
        <v>0.67</v>
      </c>
      <c r="AH175" s="5">
        <f t="shared" si="27"/>
        <v>0.67</v>
      </c>
      <c r="AI175" s="5">
        <f t="shared" si="27"/>
        <v>0.66</v>
      </c>
      <c r="AJ175" s="5">
        <f t="shared" si="27"/>
        <v>0.66</v>
      </c>
    </row>
    <row r="176" spans="1:36">
      <c r="A176" t="str">
        <f>"electricity_archetype_"&amp;TEXT(ROUND(Table2[[#This Row],[2016]],1),"0.0")</f>
        <v>electricity_archetype_3.1</v>
      </c>
      <c r="B176" s="5">
        <f t="shared" si="24"/>
        <v>3.1</v>
      </c>
      <c r="C176" s="5">
        <f t="shared" si="31"/>
        <v>3.1</v>
      </c>
      <c r="D176" s="5">
        <f t="shared" si="31"/>
        <v>3.1</v>
      </c>
      <c r="E176" s="5">
        <f t="shared" si="31"/>
        <v>3.03</v>
      </c>
      <c r="F176" s="5">
        <f t="shared" si="31"/>
        <v>2.86</v>
      </c>
      <c r="G176" s="5">
        <f t="shared" si="31"/>
        <v>2.91</v>
      </c>
      <c r="H176" s="5">
        <f t="shared" si="31"/>
        <v>2.82</v>
      </c>
      <c r="I176" s="5">
        <f t="shared" si="31"/>
        <v>2.69</v>
      </c>
      <c r="J176" s="5">
        <f t="shared" si="31"/>
        <v>2.61</v>
      </c>
      <c r="K176" s="5">
        <f t="shared" si="31"/>
        <v>2.53</v>
      </c>
      <c r="L176" s="5">
        <f t="shared" si="31"/>
        <v>2.48</v>
      </c>
      <c r="M176" s="5">
        <f t="shared" si="31"/>
        <v>2.47</v>
      </c>
      <c r="N176" s="5">
        <f t="shared" si="31"/>
        <v>2.38</v>
      </c>
      <c r="O176" s="5">
        <f t="shared" si="31"/>
        <v>2.28</v>
      </c>
      <c r="P176" s="5">
        <f t="shared" si="31"/>
        <v>2.19</v>
      </c>
      <c r="Q176" s="5">
        <f t="shared" si="31"/>
        <v>1.88</v>
      </c>
      <c r="R176" s="5">
        <f t="shared" si="31"/>
        <v>1.49</v>
      </c>
      <c r="S176" s="5">
        <f t="shared" si="30"/>
        <v>1.38</v>
      </c>
      <c r="T176" s="5">
        <f t="shared" si="30"/>
        <v>1.09</v>
      </c>
      <c r="U176" s="5">
        <f t="shared" si="30"/>
        <v>0.89</v>
      </c>
      <c r="V176" s="5">
        <f t="shared" si="30"/>
        <v>0.85</v>
      </c>
      <c r="W176" s="5">
        <f t="shared" si="30"/>
        <v>0.8</v>
      </c>
      <c r="X176" s="5">
        <f t="shared" si="30"/>
        <v>0.77</v>
      </c>
      <c r="Y176" s="5">
        <f t="shared" si="30"/>
        <v>0.73</v>
      </c>
      <c r="Z176" s="5">
        <f t="shared" si="30"/>
        <v>0.74</v>
      </c>
      <c r="AA176" s="5">
        <f t="shared" si="30"/>
        <v>0.73</v>
      </c>
      <c r="AB176" s="5">
        <f t="shared" si="30"/>
        <v>0.73</v>
      </c>
      <c r="AC176" s="5">
        <f t="shared" si="30"/>
        <v>0.7</v>
      </c>
      <c r="AD176" s="5">
        <f t="shared" si="30"/>
        <v>0.69</v>
      </c>
      <c r="AE176" s="5">
        <f t="shared" si="30"/>
        <v>0.68</v>
      </c>
      <c r="AF176" s="5">
        <f t="shared" si="30"/>
        <v>0.67</v>
      </c>
      <c r="AG176" s="5">
        <f t="shared" si="30"/>
        <v>0.67</v>
      </c>
      <c r="AH176" s="5">
        <f t="shared" si="27"/>
        <v>0.67</v>
      </c>
      <c r="AI176" s="5">
        <f t="shared" si="27"/>
        <v>0.66</v>
      </c>
      <c r="AJ176" s="5">
        <f t="shared" si="27"/>
        <v>0.66</v>
      </c>
    </row>
    <row r="177" spans="1:36">
      <c r="A177" t="str">
        <f>"electricity_archetype_"&amp;TEXT(ROUND(Table2[[#This Row],[2016]],1),"0.0")</f>
        <v>electricity_archetype_3.0</v>
      </c>
      <c r="B177" s="5">
        <f t="shared" si="24"/>
        <v>3</v>
      </c>
      <c r="C177" s="5">
        <f t="shared" si="31"/>
        <v>3</v>
      </c>
      <c r="D177" s="5">
        <f t="shared" si="31"/>
        <v>3</v>
      </c>
      <c r="E177" s="5">
        <f t="shared" si="31"/>
        <v>2.93</v>
      </c>
      <c r="F177" s="5">
        <f t="shared" si="31"/>
        <v>2.77</v>
      </c>
      <c r="G177" s="5">
        <f t="shared" si="31"/>
        <v>2.82</v>
      </c>
      <c r="H177" s="5">
        <f t="shared" si="31"/>
        <v>2.74</v>
      </c>
      <c r="I177" s="5">
        <f t="shared" si="31"/>
        <v>2.6</v>
      </c>
      <c r="J177" s="5">
        <f t="shared" si="31"/>
        <v>2.53</v>
      </c>
      <c r="K177" s="5">
        <f t="shared" si="31"/>
        <v>2.46</v>
      </c>
      <c r="L177" s="5">
        <f t="shared" si="31"/>
        <v>2.41</v>
      </c>
      <c r="M177" s="5">
        <f t="shared" si="31"/>
        <v>2.4</v>
      </c>
      <c r="N177" s="5">
        <f t="shared" si="31"/>
        <v>2.3</v>
      </c>
      <c r="O177" s="5">
        <f t="shared" si="31"/>
        <v>2.21</v>
      </c>
      <c r="P177" s="5">
        <f t="shared" si="31"/>
        <v>2.13</v>
      </c>
      <c r="Q177" s="5">
        <f t="shared" si="31"/>
        <v>1.83</v>
      </c>
      <c r="R177" s="5">
        <f t="shared" si="31"/>
        <v>1.45</v>
      </c>
      <c r="S177" s="5">
        <f t="shared" si="30"/>
        <v>1.35</v>
      </c>
      <c r="T177" s="5">
        <f t="shared" si="30"/>
        <v>1.07</v>
      </c>
      <c r="U177" s="5">
        <f t="shared" si="30"/>
        <v>0.88</v>
      </c>
      <c r="V177" s="5">
        <f t="shared" si="30"/>
        <v>0.85</v>
      </c>
      <c r="W177" s="5">
        <f t="shared" si="30"/>
        <v>0.8</v>
      </c>
      <c r="X177" s="5">
        <f t="shared" si="30"/>
        <v>0.76</v>
      </c>
      <c r="Y177" s="5">
        <f t="shared" si="30"/>
        <v>0.73</v>
      </c>
      <c r="Z177" s="5">
        <f t="shared" si="30"/>
        <v>0.74</v>
      </c>
      <c r="AA177" s="5">
        <f t="shared" si="30"/>
        <v>0.73</v>
      </c>
      <c r="AB177" s="5">
        <f t="shared" si="30"/>
        <v>0.72</v>
      </c>
      <c r="AC177" s="5">
        <f t="shared" si="30"/>
        <v>0.69</v>
      </c>
      <c r="AD177" s="5">
        <f t="shared" si="30"/>
        <v>0.69</v>
      </c>
      <c r="AE177" s="5">
        <f t="shared" si="30"/>
        <v>0.68</v>
      </c>
      <c r="AF177" s="5">
        <f t="shared" si="30"/>
        <v>0.67</v>
      </c>
      <c r="AG177" s="5">
        <f t="shared" si="30"/>
        <v>0.67</v>
      </c>
      <c r="AH177" s="5">
        <f t="shared" si="27"/>
        <v>0.67</v>
      </c>
      <c r="AI177" s="5">
        <f t="shared" si="27"/>
        <v>0.66</v>
      </c>
      <c r="AJ177" s="5">
        <f t="shared" si="27"/>
        <v>0.66</v>
      </c>
    </row>
    <row r="178" spans="1:36">
      <c r="A178" t="str">
        <f>"electricity_archetype_"&amp;TEXT(ROUND(Table2[[#This Row],[2016]],1),"0.0")</f>
        <v>electricity_archetype_2.9</v>
      </c>
      <c r="B178" s="5">
        <f t="shared" si="24"/>
        <v>2.9</v>
      </c>
      <c r="C178" s="5">
        <f t="shared" si="31"/>
        <v>2.9</v>
      </c>
      <c r="D178" s="5">
        <f t="shared" si="31"/>
        <v>2.9</v>
      </c>
      <c r="E178" s="5">
        <f t="shared" si="31"/>
        <v>2.84</v>
      </c>
      <c r="F178" s="5">
        <f t="shared" si="31"/>
        <v>2.68</v>
      </c>
      <c r="G178" s="5">
        <f t="shared" si="31"/>
        <v>2.73</v>
      </c>
      <c r="H178" s="5">
        <f t="shared" si="31"/>
        <v>2.65</v>
      </c>
      <c r="I178" s="5">
        <f t="shared" si="31"/>
        <v>2.52</v>
      </c>
      <c r="J178" s="5">
        <f t="shared" si="31"/>
        <v>2.45</v>
      </c>
      <c r="K178" s="5">
        <f t="shared" si="31"/>
        <v>2.38</v>
      </c>
      <c r="L178" s="5">
        <f t="shared" si="31"/>
        <v>2.33</v>
      </c>
      <c r="M178" s="5">
        <f t="shared" si="31"/>
        <v>2.33</v>
      </c>
      <c r="N178" s="5">
        <f t="shared" si="31"/>
        <v>2.23</v>
      </c>
      <c r="O178" s="5">
        <f t="shared" si="31"/>
        <v>2.14</v>
      </c>
      <c r="P178" s="5">
        <f t="shared" si="31"/>
        <v>2.06</v>
      </c>
      <c r="Q178" s="5">
        <f t="shared" si="31"/>
        <v>1.78</v>
      </c>
      <c r="R178" s="5">
        <f t="shared" si="31"/>
        <v>1.42</v>
      </c>
      <c r="S178" s="5">
        <f t="shared" si="30"/>
        <v>1.32</v>
      </c>
      <c r="T178" s="5">
        <f t="shared" si="30"/>
        <v>1.05</v>
      </c>
      <c r="U178" s="5">
        <f t="shared" si="30"/>
        <v>0.87</v>
      </c>
      <c r="V178" s="5">
        <f t="shared" si="30"/>
        <v>0.84</v>
      </c>
      <c r="W178" s="5">
        <f t="shared" si="30"/>
        <v>0.79</v>
      </c>
      <c r="X178" s="5">
        <f t="shared" si="30"/>
        <v>0.76</v>
      </c>
      <c r="Y178" s="5">
        <f t="shared" si="30"/>
        <v>0.72</v>
      </c>
      <c r="Z178" s="5">
        <f t="shared" si="30"/>
        <v>0.73</v>
      </c>
      <c r="AA178" s="5">
        <f t="shared" si="30"/>
        <v>0.73</v>
      </c>
      <c r="AB178" s="5">
        <f t="shared" si="30"/>
        <v>0.72</v>
      </c>
      <c r="AC178" s="5">
        <f t="shared" si="30"/>
        <v>0.69</v>
      </c>
      <c r="AD178" s="5">
        <f t="shared" si="30"/>
        <v>0.69</v>
      </c>
      <c r="AE178" s="5">
        <f t="shared" si="30"/>
        <v>0.68</v>
      </c>
      <c r="AF178" s="5">
        <f t="shared" si="30"/>
        <v>0.67</v>
      </c>
      <c r="AG178" s="5">
        <f t="shared" si="30"/>
        <v>0.67</v>
      </c>
      <c r="AH178" s="5">
        <f t="shared" si="27"/>
        <v>0.67</v>
      </c>
      <c r="AI178" s="5">
        <f t="shared" si="27"/>
        <v>0.66</v>
      </c>
      <c r="AJ178" s="5">
        <f t="shared" si="27"/>
        <v>0.66</v>
      </c>
    </row>
    <row r="179" spans="1:36">
      <c r="A179" t="str">
        <f>"electricity_archetype_"&amp;TEXT(ROUND(Table2[[#This Row],[2016]],1),"0.0")</f>
        <v>electricity_archetype_2.8</v>
      </c>
      <c r="B179" s="5">
        <f t="shared" si="24"/>
        <v>2.8</v>
      </c>
      <c r="C179" s="5">
        <f t="shared" si="31"/>
        <v>2.8</v>
      </c>
      <c r="D179" s="5">
        <f t="shared" si="31"/>
        <v>2.8</v>
      </c>
      <c r="E179" s="5">
        <f t="shared" si="31"/>
        <v>2.74</v>
      </c>
      <c r="F179" s="5">
        <f t="shared" si="31"/>
        <v>2.59</v>
      </c>
      <c r="G179" s="5">
        <f t="shared" si="31"/>
        <v>2.63</v>
      </c>
      <c r="H179" s="5">
        <f t="shared" si="31"/>
        <v>2.56</v>
      </c>
      <c r="I179" s="5">
        <f t="shared" si="31"/>
        <v>2.44</v>
      </c>
      <c r="J179" s="5">
        <f t="shared" si="31"/>
        <v>2.37</v>
      </c>
      <c r="K179" s="5">
        <f t="shared" si="31"/>
        <v>2.3</v>
      </c>
      <c r="L179" s="5">
        <f t="shared" si="31"/>
        <v>2.26</v>
      </c>
      <c r="M179" s="5">
        <f t="shared" si="31"/>
        <v>2.25</v>
      </c>
      <c r="N179" s="5">
        <f t="shared" si="31"/>
        <v>2.16</v>
      </c>
      <c r="O179" s="5">
        <f t="shared" si="31"/>
        <v>2.08</v>
      </c>
      <c r="P179" s="5">
        <f t="shared" si="31"/>
        <v>2</v>
      </c>
      <c r="Q179" s="5">
        <f t="shared" si="31"/>
        <v>1.73</v>
      </c>
      <c r="R179" s="5">
        <f t="shared" si="31"/>
        <v>1.38</v>
      </c>
      <c r="S179" s="5">
        <f t="shared" si="30"/>
        <v>1.29</v>
      </c>
      <c r="T179" s="5">
        <f t="shared" si="30"/>
        <v>1.03</v>
      </c>
      <c r="U179" s="5">
        <f t="shared" si="30"/>
        <v>0.86</v>
      </c>
      <c r="V179" s="5">
        <f t="shared" si="30"/>
        <v>0.83</v>
      </c>
      <c r="W179" s="5">
        <f t="shared" si="30"/>
        <v>0.79</v>
      </c>
      <c r="X179" s="5">
        <f t="shared" si="30"/>
        <v>0.75</v>
      </c>
      <c r="Y179" s="5">
        <f t="shared" si="30"/>
        <v>0.72</v>
      </c>
      <c r="Z179" s="5">
        <f t="shared" si="30"/>
        <v>0.73</v>
      </c>
      <c r="AA179" s="5">
        <f t="shared" si="30"/>
        <v>0.72</v>
      </c>
      <c r="AB179" s="5">
        <f t="shared" si="30"/>
        <v>0.72</v>
      </c>
      <c r="AC179" s="5">
        <f t="shared" si="30"/>
        <v>0.69</v>
      </c>
      <c r="AD179" s="5">
        <f t="shared" si="30"/>
        <v>0.69</v>
      </c>
      <c r="AE179" s="5">
        <f t="shared" si="30"/>
        <v>0.68</v>
      </c>
      <c r="AF179" s="5">
        <f t="shared" si="30"/>
        <v>0.67</v>
      </c>
      <c r="AG179" s="5">
        <f t="shared" si="30"/>
        <v>0.67</v>
      </c>
      <c r="AH179" s="5">
        <f t="shared" si="27"/>
        <v>0.66</v>
      </c>
      <c r="AI179" s="5">
        <f t="shared" si="27"/>
        <v>0.66</v>
      </c>
      <c r="AJ179" s="5">
        <f t="shared" si="27"/>
        <v>0.66</v>
      </c>
    </row>
    <row r="180" spans="1:36">
      <c r="A180" t="str">
        <f>"electricity_archetype_"&amp;TEXT(ROUND(Table2[[#This Row],[2016]],1),"0.0")</f>
        <v>electricity_archetype_2.7</v>
      </c>
      <c r="B180" s="5">
        <f t="shared" si="24"/>
        <v>2.7</v>
      </c>
      <c r="C180" s="5">
        <f t="shared" si="31"/>
        <v>2.7</v>
      </c>
      <c r="D180" s="5">
        <f t="shared" si="31"/>
        <v>2.7</v>
      </c>
      <c r="E180" s="5">
        <f t="shared" si="31"/>
        <v>2.64</v>
      </c>
      <c r="F180" s="5">
        <f t="shared" si="31"/>
        <v>2.5</v>
      </c>
      <c r="G180" s="5">
        <f t="shared" si="31"/>
        <v>2.54</v>
      </c>
      <c r="H180" s="5">
        <f t="shared" si="31"/>
        <v>2.47</v>
      </c>
      <c r="I180" s="5">
        <f t="shared" si="31"/>
        <v>2.35</v>
      </c>
      <c r="J180" s="5">
        <f t="shared" si="31"/>
        <v>2.29</v>
      </c>
      <c r="K180" s="5">
        <f t="shared" si="31"/>
        <v>2.23</v>
      </c>
      <c r="L180" s="5">
        <f t="shared" si="31"/>
        <v>2.18</v>
      </c>
      <c r="M180" s="5">
        <f t="shared" si="31"/>
        <v>2.18</v>
      </c>
      <c r="N180" s="5">
        <f t="shared" si="31"/>
        <v>2.09</v>
      </c>
      <c r="O180" s="5">
        <f t="shared" si="31"/>
        <v>2.01</v>
      </c>
      <c r="P180" s="5">
        <f t="shared" si="31"/>
        <v>1.94</v>
      </c>
      <c r="Q180" s="5">
        <f t="shared" si="31"/>
        <v>1.68</v>
      </c>
      <c r="R180" s="5">
        <f t="shared" si="31"/>
        <v>1.35</v>
      </c>
      <c r="S180" s="5">
        <f t="shared" si="30"/>
        <v>1.26</v>
      </c>
      <c r="T180" s="5">
        <f t="shared" si="30"/>
        <v>1.02</v>
      </c>
      <c r="U180" s="5">
        <f t="shared" si="30"/>
        <v>0.85</v>
      </c>
      <c r="V180" s="5">
        <f t="shared" si="30"/>
        <v>0.82</v>
      </c>
      <c r="W180" s="5">
        <f t="shared" si="30"/>
        <v>0.78</v>
      </c>
      <c r="X180" s="5">
        <f t="shared" si="30"/>
        <v>0.75</v>
      </c>
      <c r="Y180" s="5">
        <f t="shared" si="30"/>
        <v>0.72</v>
      </c>
      <c r="Z180" s="5">
        <f t="shared" si="30"/>
        <v>0.73</v>
      </c>
      <c r="AA180" s="5">
        <f t="shared" si="30"/>
        <v>0.72</v>
      </c>
      <c r="AB180" s="5">
        <f t="shared" si="30"/>
        <v>0.72</v>
      </c>
      <c r="AC180" s="5">
        <f t="shared" si="30"/>
        <v>0.69</v>
      </c>
      <c r="AD180" s="5">
        <f t="shared" si="30"/>
        <v>0.69</v>
      </c>
      <c r="AE180" s="5">
        <f t="shared" si="30"/>
        <v>0.68</v>
      </c>
      <c r="AF180" s="5">
        <f t="shared" si="30"/>
        <v>0.67</v>
      </c>
      <c r="AG180" s="5">
        <f t="shared" si="30"/>
        <v>0.67</v>
      </c>
      <c r="AH180" s="5">
        <f t="shared" si="27"/>
        <v>0.66</v>
      </c>
      <c r="AI180" s="5">
        <f t="shared" si="27"/>
        <v>0.66</v>
      </c>
      <c r="AJ180" s="5">
        <f t="shared" si="27"/>
        <v>0.66</v>
      </c>
    </row>
    <row r="181" spans="1:36">
      <c r="A181" t="str">
        <f>"electricity_archetype_"&amp;TEXT(ROUND(Table2[[#This Row],[2016]],1),"0.0")</f>
        <v>electricity_archetype_2.6</v>
      </c>
      <c r="B181" s="5">
        <f t="shared" si="24"/>
        <v>2.6</v>
      </c>
      <c r="C181" s="5">
        <f t="shared" si="31"/>
        <v>2.6</v>
      </c>
      <c r="D181" s="5">
        <f t="shared" si="31"/>
        <v>2.6</v>
      </c>
      <c r="E181" s="5">
        <f t="shared" si="31"/>
        <v>2.54</v>
      </c>
      <c r="F181" s="5">
        <f t="shared" si="31"/>
        <v>2.41</v>
      </c>
      <c r="G181" s="5">
        <f t="shared" si="31"/>
        <v>2.45</v>
      </c>
      <c r="H181" s="5">
        <f t="shared" si="31"/>
        <v>2.38</v>
      </c>
      <c r="I181" s="5">
        <f t="shared" si="31"/>
        <v>2.27</v>
      </c>
      <c r="J181" s="5">
        <f t="shared" si="31"/>
        <v>2.21</v>
      </c>
      <c r="K181" s="5">
        <f t="shared" si="31"/>
        <v>2.15</v>
      </c>
      <c r="L181" s="5">
        <f t="shared" si="31"/>
        <v>2.11</v>
      </c>
      <c r="M181" s="5">
        <f t="shared" si="31"/>
        <v>2.1</v>
      </c>
      <c r="N181" s="5">
        <f t="shared" si="31"/>
        <v>2.02</v>
      </c>
      <c r="O181" s="5">
        <f t="shared" si="31"/>
        <v>1.94</v>
      </c>
      <c r="P181" s="5">
        <f t="shared" si="31"/>
        <v>1.88</v>
      </c>
      <c r="Q181" s="5">
        <f t="shared" si="31"/>
        <v>1.63</v>
      </c>
      <c r="R181" s="5">
        <f t="shared" si="31"/>
        <v>1.32</v>
      </c>
      <c r="S181" s="5">
        <f t="shared" si="30"/>
        <v>1.23</v>
      </c>
      <c r="T181" s="5">
        <f t="shared" si="30"/>
        <v>1</v>
      </c>
      <c r="U181" s="5">
        <f t="shared" si="30"/>
        <v>0.84</v>
      </c>
      <c r="V181" s="5">
        <f t="shared" si="30"/>
        <v>0.81</v>
      </c>
      <c r="W181" s="5">
        <f t="shared" si="30"/>
        <v>0.77</v>
      </c>
      <c r="X181" s="5">
        <f t="shared" si="30"/>
        <v>0.74</v>
      </c>
      <c r="Y181" s="5">
        <f t="shared" si="30"/>
        <v>0.72</v>
      </c>
      <c r="Z181" s="5">
        <f t="shared" si="30"/>
        <v>0.72</v>
      </c>
      <c r="AA181" s="5">
        <f t="shared" si="30"/>
        <v>0.72</v>
      </c>
      <c r="AB181" s="5">
        <f t="shared" si="30"/>
        <v>0.71</v>
      </c>
      <c r="AC181" s="5">
        <f t="shared" si="30"/>
        <v>0.69</v>
      </c>
      <c r="AD181" s="5">
        <f t="shared" si="30"/>
        <v>0.68</v>
      </c>
      <c r="AE181" s="5">
        <f t="shared" si="30"/>
        <v>0.68</v>
      </c>
      <c r="AF181" s="5">
        <f t="shared" si="30"/>
        <v>0.67</v>
      </c>
      <c r="AG181" s="5">
        <f t="shared" si="30"/>
        <v>0.67</v>
      </c>
      <c r="AH181" s="5">
        <f t="shared" si="27"/>
        <v>0.66</v>
      </c>
      <c r="AI181" s="5">
        <f t="shared" si="27"/>
        <v>0.66</v>
      </c>
      <c r="AJ181" s="5">
        <f t="shared" si="27"/>
        <v>0.66</v>
      </c>
    </row>
    <row r="182" spans="1:36">
      <c r="A182" t="str">
        <f>"electricity_archetype_"&amp;TEXT(ROUND(Table2[[#This Row],[2016]],1),"0.0")</f>
        <v>electricity_archetype_2.5</v>
      </c>
      <c r="B182" s="5">
        <f t="shared" si="24"/>
        <v>2.5</v>
      </c>
      <c r="C182" s="5">
        <f t="shared" si="31"/>
        <v>2.5</v>
      </c>
      <c r="D182" s="5">
        <f t="shared" si="31"/>
        <v>2.5</v>
      </c>
      <c r="E182" s="5">
        <f t="shared" si="31"/>
        <v>2.45</v>
      </c>
      <c r="F182" s="5">
        <f t="shared" si="31"/>
        <v>2.32</v>
      </c>
      <c r="G182" s="5">
        <f t="shared" si="31"/>
        <v>2.36</v>
      </c>
      <c r="H182" s="5">
        <f t="shared" si="31"/>
        <v>2.29</v>
      </c>
      <c r="I182" s="5">
        <f t="shared" si="31"/>
        <v>2.19</v>
      </c>
      <c r="J182" s="5">
        <f t="shared" si="31"/>
        <v>2.13</v>
      </c>
      <c r="K182" s="5">
        <f t="shared" si="31"/>
        <v>2.07</v>
      </c>
      <c r="L182" s="5">
        <f t="shared" si="31"/>
        <v>2.03</v>
      </c>
      <c r="M182" s="5">
        <f t="shared" si="31"/>
        <v>2.03</v>
      </c>
      <c r="N182" s="5">
        <f t="shared" si="31"/>
        <v>1.95</v>
      </c>
      <c r="O182" s="5">
        <f t="shared" si="31"/>
        <v>1.88</v>
      </c>
      <c r="P182" s="5">
        <f t="shared" si="31"/>
        <v>1.81</v>
      </c>
      <c r="Q182" s="5">
        <f t="shared" si="31"/>
        <v>1.58</v>
      </c>
      <c r="R182" s="5">
        <f t="shared" si="31"/>
        <v>1.28</v>
      </c>
      <c r="S182" s="5">
        <f t="shared" si="30"/>
        <v>1.2</v>
      </c>
      <c r="T182" s="5">
        <f t="shared" si="30"/>
        <v>0.98</v>
      </c>
      <c r="U182" s="5">
        <f t="shared" si="30"/>
        <v>0.83</v>
      </c>
      <c r="V182" s="5">
        <f t="shared" si="30"/>
        <v>0.81</v>
      </c>
      <c r="W182" s="5">
        <f t="shared" si="30"/>
        <v>0.77</v>
      </c>
      <c r="X182" s="5">
        <f t="shared" si="30"/>
        <v>0.74</v>
      </c>
      <c r="Y182" s="5">
        <f t="shared" si="30"/>
        <v>0.71</v>
      </c>
      <c r="Z182" s="5">
        <f t="shared" si="30"/>
        <v>0.72</v>
      </c>
      <c r="AA182" s="5">
        <f t="shared" si="30"/>
        <v>0.71</v>
      </c>
      <c r="AB182" s="5">
        <f t="shared" si="30"/>
        <v>0.71</v>
      </c>
      <c r="AC182" s="5">
        <f t="shared" si="30"/>
        <v>0.69</v>
      </c>
      <c r="AD182" s="5">
        <f t="shared" si="30"/>
        <v>0.68</v>
      </c>
      <c r="AE182" s="5">
        <f t="shared" si="30"/>
        <v>0.68</v>
      </c>
      <c r="AF182" s="5">
        <f t="shared" si="30"/>
        <v>0.67</v>
      </c>
      <c r="AG182" s="5">
        <f t="shared" si="30"/>
        <v>0.67</v>
      </c>
      <c r="AH182" s="5">
        <f t="shared" si="27"/>
        <v>0.66</v>
      </c>
      <c r="AI182" s="5">
        <f t="shared" si="27"/>
        <v>0.66</v>
      </c>
      <c r="AJ182" s="5">
        <f t="shared" si="27"/>
        <v>0.66</v>
      </c>
    </row>
    <row r="183" spans="1:36">
      <c r="A183" t="str">
        <f>"electricity_archetype_"&amp;TEXT(ROUND(Table2[[#This Row],[2016]],1),"0.0")</f>
        <v>electricity_archetype_2.4</v>
      </c>
      <c r="B183" s="5">
        <f t="shared" si="24"/>
        <v>2.4</v>
      </c>
      <c r="C183" s="5">
        <f t="shared" si="31"/>
        <v>2.4</v>
      </c>
      <c r="D183" s="5">
        <f t="shared" si="31"/>
        <v>2.4</v>
      </c>
      <c r="E183" s="5">
        <f t="shared" si="31"/>
        <v>2.35</v>
      </c>
      <c r="F183" s="5">
        <f t="shared" si="31"/>
        <v>2.23</v>
      </c>
      <c r="G183" s="5">
        <f t="shared" si="31"/>
        <v>2.26</v>
      </c>
      <c r="H183" s="5">
        <f t="shared" si="31"/>
        <v>2.2</v>
      </c>
      <c r="I183" s="5">
        <f t="shared" si="31"/>
        <v>2.1</v>
      </c>
      <c r="J183" s="5">
        <f t="shared" si="31"/>
        <v>2.05</v>
      </c>
      <c r="K183" s="5">
        <f t="shared" si="31"/>
        <v>2</v>
      </c>
      <c r="L183" s="5">
        <f t="shared" si="31"/>
        <v>1.96</v>
      </c>
      <c r="M183" s="5">
        <f t="shared" si="31"/>
        <v>1.95</v>
      </c>
      <c r="N183" s="5">
        <f t="shared" si="31"/>
        <v>1.88</v>
      </c>
      <c r="O183" s="5">
        <f t="shared" si="31"/>
        <v>1.81</v>
      </c>
      <c r="P183" s="5">
        <f t="shared" si="31"/>
        <v>1.75</v>
      </c>
      <c r="Q183" s="5">
        <f t="shared" si="31"/>
        <v>1.53</v>
      </c>
      <c r="R183" s="5">
        <f t="shared" si="31"/>
        <v>1.25</v>
      </c>
      <c r="S183" s="5">
        <f t="shared" si="30"/>
        <v>1.17</v>
      </c>
      <c r="T183" s="5">
        <f t="shared" si="30"/>
        <v>0.96</v>
      </c>
      <c r="U183" s="5">
        <f t="shared" si="30"/>
        <v>0.82</v>
      </c>
      <c r="V183" s="5">
        <f t="shared" si="30"/>
        <v>0.8</v>
      </c>
      <c r="W183" s="5">
        <f t="shared" si="30"/>
        <v>0.76</v>
      </c>
      <c r="X183" s="5">
        <f t="shared" si="30"/>
        <v>0.73</v>
      </c>
      <c r="Y183" s="5">
        <f t="shared" si="30"/>
        <v>0.71</v>
      </c>
      <c r="Z183" s="5">
        <f t="shared" si="30"/>
        <v>0.72</v>
      </c>
      <c r="AA183" s="5">
        <f t="shared" si="30"/>
        <v>0.71</v>
      </c>
      <c r="AB183" s="5">
        <f t="shared" si="30"/>
        <v>0.71</v>
      </c>
      <c r="AC183" s="5">
        <f t="shared" si="30"/>
        <v>0.68</v>
      </c>
      <c r="AD183" s="5">
        <f t="shared" si="30"/>
        <v>0.68</v>
      </c>
      <c r="AE183" s="5">
        <f t="shared" si="30"/>
        <v>0.68</v>
      </c>
      <c r="AF183" s="5">
        <f t="shared" si="30"/>
        <v>0.67</v>
      </c>
      <c r="AG183" s="5">
        <f t="shared" si="30"/>
        <v>0.67</v>
      </c>
      <c r="AH183" s="5">
        <f t="shared" si="27"/>
        <v>0.66</v>
      </c>
      <c r="AI183" s="5">
        <f t="shared" si="27"/>
        <v>0.66</v>
      </c>
      <c r="AJ183" s="5">
        <f t="shared" si="27"/>
        <v>0.66</v>
      </c>
    </row>
    <row r="184" spans="1:36">
      <c r="A184" t="str">
        <f>"electricity_archetype_"&amp;TEXT(ROUND(Table2[[#This Row],[2016]],1),"0.0")</f>
        <v>electricity_archetype_2.3</v>
      </c>
      <c r="B184" s="5">
        <f t="shared" si="24"/>
        <v>2.3</v>
      </c>
      <c r="C184" s="5">
        <f t="shared" si="31"/>
        <v>2.3</v>
      </c>
      <c r="D184" s="5">
        <f t="shared" si="31"/>
        <v>2.3</v>
      </c>
      <c r="E184" s="5">
        <f t="shared" si="31"/>
        <v>2.25</v>
      </c>
      <c r="F184" s="5">
        <f t="shared" si="31"/>
        <v>2.14</v>
      </c>
      <c r="G184" s="5">
        <f t="shared" si="31"/>
        <v>2.17</v>
      </c>
      <c r="H184" s="5">
        <f t="shared" si="31"/>
        <v>2.11</v>
      </c>
      <c r="I184" s="5">
        <f t="shared" si="31"/>
        <v>2.02</v>
      </c>
      <c r="J184" s="5">
        <f t="shared" si="31"/>
        <v>1.97</v>
      </c>
      <c r="K184" s="5">
        <f t="shared" si="31"/>
        <v>1.92</v>
      </c>
      <c r="L184" s="5">
        <f t="shared" si="31"/>
        <v>1.88</v>
      </c>
      <c r="M184" s="5">
        <f t="shared" si="31"/>
        <v>1.88</v>
      </c>
      <c r="N184" s="5">
        <f t="shared" si="31"/>
        <v>1.81</v>
      </c>
      <c r="O184" s="5">
        <f t="shared" si="31"/>
        <v>1.75</v>
      </c>
      <c r="P184" s="5">
        <f t="shared" si="31"/>
        <v>1.69</v>
      </c>
      <c r="Q184" s="5">
        <f t="shared" si="31"/>
        <v>1.48</v>
      </c>
      <c r="R184" s="5">
        <f t="shared" si="31"/>
        <v>1.21</v>
      </c>
      <c r="S184" s="5">
        <f t="shared" si="30"/>
        <v>1.14</v>
      </c>
      <c r="T184" s="5">
        <f t="shared" si="30"/>
        <v>0.95</v>
      </c>
      <c r="U184" s="5">
        <f t="shared" si="30"/>
        <v>0.81</v>
      </c>
      <c r="V184" s="5">
        <f t="shared" si="30"/>
        <v>0.79</v>
      </c>
      <c r="W184" s="5">
        <f t="shared" si="30"/>
        <v>0.76</v>
      </c>
      <c r="X184" s="5">
        <f t="shared" si="30"/>
        <v>0.73</v>
      </c>
      <c r="Y184" s="5">
        <f t="shared" si="30"/>
        <v>0.71</v>
      </c>
      <c r="Z184" s="5">
        <f t="shared" si="30"/>
        <v>0.71</v>
      </c>
      <c r="AA184" s="5">
        <f t="shared" si="30"/>
        <v>0.71</v>
      </c>
      <c r="AB184" s="5">
        <f t="shared" si="30"/>
        <v>0.7</v>
      </c>
      <c r="AC184" s="5">
        <f t="shared" si="30"/>
        <v>0.68</v>
      </c>
      <c r="AD184" s="5">
        <f t="shared" si="30"/>
        <v>0.68</v>
      </c>
      <c r="AE184" s="5">
        <f t="shared" si="30"/>
        <v>0.68</v>
      </c>
      <c r="AF184" s="5">
        <f t="shared" si="30"/>
        <v>0.67</v>
      </c>
      <c r="AG184" s="5">
        <f t="shared" si="30"/>
        <v>0.67</v>
      </c>
      <c r="AH184" s="5">
        <f t="shared" si="27"/>
        <v>0.66</v>
      </c>
      <c r="AI184" s="5">
        <f t="shared" si="27"/>
        <v>0.66</v>
      </c>
      <c r="AJ184" s="5">
        <f t="shared" si="27"/>
        <v>0.66</v>
      </c>
    </row>
    <row r="185" spans="1:36">
      <c r="A185" t="str">
        <f>"electricity_archetype_"&amp;TEXT(ROUND(Table2[[#This Row],[2016]],1),"0.0")</f>
        <v>electricity_archetype_2.2</v>
      </c>
      <c r="B185" s="5">
        <f t="shared" si="24"/>
        <v>2.2</v>
      </c>
      <c r="C185" s="5">
        <f t="shared" si="31"/>
        <v>2.2</v>
      </c>
      <c r="D185" s="5">
        <f t="shared" si="31"/>
        <v>2.2</v>
      </c>
      <c r="E185" s="5">
        <f t="shared" si="31"/>
        <v>2.16</v>
      </c>
      <c r="F185" s="5">
        <f t="shared" si="31"/>
        <v>2.05</v>
      </c>
      <c r="G185" s="5">
        <f t="shared" si="31"/>
        <v>2.08</v>
      </c>
      <c r="H185" s="5">
        <f t="shared" si="31"/>
        <v>2.03</v>
      </c>
      <c r="I185" s="5">
        <f t="shared" si="31"/>
        <v>1.94</v>
      </c>
      <c r="J185" s="5">
        <f t="shared" si="31"/>
        <v>1.89</v>
      </c>
      <c r="K185" s="5">
        <f t="shared" si="31"/>
        <v>1.84</v>
      </c>
      <c r="L185" s="5">
        <f t="shared" si="31"/>
        <v>1.81</v>
      </c>
      <c r="M185" s="5">
        <f t="shared" si="31"/>
        <v>1.8</v>
      </c>
      <c r="N185" s="5">
        <f t="shared" si="31"/>
        <v>1.74</v>
      </c>
      <c r="O185" s="5">
        <f t="shared" si="31"/>
        <v>1.68</v>
      </c>
      <c r="P185" s="5">
        <f t="shared" si="31"/>
        <v>1.63</v>
      </c>
      <c r="Q185" s="5">
        <f t="shared" si="31"/>
        <v>1.43</v>
      </c>
      <c r="R185" s="5">
        <f t="shared" si="31"/>
        <v>1.18</v>
      </c>
      <c r="S185" s="5">
        <f t="shared" si="30"/>
        <v>1.11</v>
      </c>
      <c r="T185" s="5">
        <f t="shared" si="30"/>
        <v>0.93</v>
      </c>
      <c r="U185" s="5">
        <f t="shared" si="30"/>
        <v>0.8</v>
      </c>
      <c r="V185" s="5">
        <f t="shared" si="30"/>
        <v>0.78</v>
      </c>
      <c r="W185" s="5">
        <f t="shared" si="30"/>
        <v>0.75</v>
      </c>
      <c r="X185" s="5">
        <f t="shared" si="30"/>
        <v>0.73</v>
      </c>
      <c r="Y185" s="5">
        <f t="shared" si="30"/>
        <v>0.7</v>
      </c>
      <c r="Z185" s="5">
        <f t="shared" si="30"/>
        <v>0.71</v>
      </c>
      <c r="AA185" s="5">
        <f t="shared" si="30"/>
        <v>0.7</v>
      </c>
      <c r="AB185" s="5">
        <f t="shared" si="30"/>
        <v>0.7</v>
      </c>
      <c r="AC185" s="5">
        <f t="shared" si="30"/>
        <v>0.68</v>
      </c>
      <c r="AD185" s="5">
        <f t="shared" si="30"/>
        <v>0.68</v>
      </c>
      <c r="AE185" s="5">
        <f t="shared" si="30"/>
        <v>0.67</v>
      </c>
      <c r="AF185" s="5">
        <f t="shared" si="30"/>
        <v>0.67</v>
      </c>
      <c r="AG185" s="5">
        <f t="shared" si="30"/>
        <v>0.67</v>
      </c>
      <c r="AH185" s="5">
        <f t="shared" si="27"/>
        <v>0.66</v>
      </c>
      <c r="AI185" s="5">
        <f t="shared" si="27"/>
        <v>0.66</v>
      </c>
      <c r="AJ185" s="5">
        <f t="shared" si="27"/>
        <v>0.66</v>
      </c>
    </row>
    <row r="186" spans="1:36">
      <c r="A186" t="str">
        <f>"electricity_archetype_"&amp;TEXT(ROUND(Table2[[#This Row],[2016]],1),"0.0")</f>
        <v>electricity_archetype_2.1</v>
      </c>
      <c r="B186" s="5">
        <f t="shared" si="24"/>
        <v>2.1</v>
      </c>
      <c r="C186" s="5">
        <f t="shared" si="31"/>
        <v>2.1</v>
      </c>
      <c r="D186" s="5">
        <f t="shared" si="31"/>
        <v>2.1</v>
      </c>
      <c r="E186" s="5">
        <f t="shared" si="31"/>
        <v>2.06</v>
      </c>
      <c r="F186" s="5">
        <f t="shared" si="31"/>
        <v>1.96</v>
      </c>
      <c r="G186" s="5">
        <f t="shared" si="31"/>
        <v>1.99</v>
      </c>
      <c r="H186" s="5">
        <f t="shared" si="31"/>
        <v>1.94</v>
      </c>
      <c r="I186" s="5">
        <f t="shared" si="31"/>
        <v>1.86</v>
      </c>
      <c r="J186" s="5">
        <f t="shared" si="31"/>
        <v>1.81</v>
      </c>
      <c r="K186" s="5">
        <f t="shared" si="31"/>
        <v>1.77</v>
      </c>
      <c r="L186" s="5">
        <f t="shared" si="31"/>
        <v>1.73</v>
      </c>
      <c r="M186" s="5">
        <f t="shared" si="31"/>
        <v>1.73</v>
      </c>
      <c r="N186" s="5">
        <f t="shared" si="31"/>
        <v>1.67</v>
      </c>
      <c r="O186" s="5">
        <f t="shared" si="31"/>
        <v>1.61</v>
      </c>
      <c r="P186" s="5">
        <f t="shared" si="31"/>
        <v>1.56</v>
      </c>
      <c r="Q186" s="5">
        <f t="shared" si="31"/>
        <v>1.38</v>
      </c>
      <c r="R186" s="5">
        <f t="shared" si="31"/>
        <v>1.15</v>
      </c>
      <c r="S186" s="5">
        <f t="shared" si="30"/>
        <v>1.08</v>
      </c>
      <c r="T186" s="5">
        <f t="shared" si="30"/>
        <v>0.91</v>
      </c>
      <c r="U186" s="5">
        <f t="shared" si="30"/>
        <v>0.79</v>
      </c>
      <c r="V186" s="5">
        <f t="shared" si="30"/>
        <v>0.77</v>
      </c>
      <c r="W186" s="5">
        <f t="shared" si="30"/>
        <v>0.74</v>
      </c>
      <c r="X186" s="5">
        <f t="shared" si="30"/>
        <v>0.72</v>
      </c>
      <c r="Y186" s="5">
        <f t="shared" si="30"/>
        <v>0.7</v>
      </c>
      <c r="Z186" s="5">
        <f t="shared" si="30"/>
        <v>0.71</v>
      </c>
      <c r="AA186" s="5">
        <f t="shared" si="30"/>
        <v>0.7</v>
      </c>
      <c r="AB186" s="5">
        <f t="shared" si="30"/>
        <v>0.7</v>
      </c>
      <c r="AC186" s="5">
        <f t="shared" si="30"/>
        <v>0.68</v>
      </c>
      <c r="AD186" s="5">
        <f t="shared" si="30"/>
        <v>0.68</v>
      </c>
      <c r="AE186" s="5">
        <f t="shared" si="30"/>
        <v>0.67</v>
      </c>
      <c r="AF186" s="5">
        <f t="shared" si="30"/>
        <v>0.67</v>
      </c>
      <c r="AG186" s="5">
        <f t="shared" si="30"/>
        <v>0.67</v>
      </c>
      <c r="AH186" s="5">
        <f t="shared" si="27"/>
        <v>0.66</v>
      </c>
      <c r="AI186" s="5">
        <f t="shared" si="27"/>
        <v>0.66</v>
      </c>
      <c r="AJ186" s="5">
        <f t="shared" si="27"/>
        <v>0.66</v>
      </c>
    </row>
    <row r="187" spans="1:36">
      <c r="A187" t="str">
        <f>"electricity_archetype_"&amp;TEXT(ROUND(Table2[[#This Row],[2016]],1),"0.0")</f>
        <v>electricity_archetype_2.0</v>
      </c>
      <c r="B187" s="5">
        <f t="shared" si="24"/>
        <v>2</v>
      </c>
      <c r="C187" s="5">
        <f t="shared" si="31"/>
        <v>2</v>
      </c>
      <c r="D187" s="5">
        <f t="shared" si="31"/>
        <v>2</v>
      </c>
      <c r="E187" s="5">
        <f t="shared" si="31"/>
        <v>1.96</v>
      </c>
      <c r="F187" s="5">
        <f t="shared" si="31"/>
        <v>1.87</v>
      </c>
      <c r="G187" s="5">
        <f t="shared" si="31"/>
        <v>1.9</v>
      </c>
      <c r="H187" s="5">
        <f t="shared" si="31"/>
        <v>1.85</v>
      </c>
      <c r="I187" s="5">
        <f t="shared" si="31"/>
        <v>1.77</v>
      </c>
      <c r="J187" s="5">
        <f t="shared" si="31"/>
        <v>1.73</v>
      </c>
      <c r="K187" s="5">
        <f t="shared" si="31"/>
        <v>1.69</v>
      </c>
      <c r="L187" s="5">
        <f t="shared" si="31"/>
        <v>1.66</v>
      </c>
      <c r="M187" s="5">
        <f t="shared" si="31"/>
        <v>1.66</v>
      </c>
      <c r="N187" s="5">
        <f t="shared" si="31"/>
        <v>1.6</v>
      </c>
      <c r="O187" s="5">
        <f t="shared" si="31"/>
        <v>1.55</v>
      </c>
      <c r="P187" s="5">
        <f t="shared" si="31"/>
        <v>1.5</v>
      </c>
      <c r="Q187" s="5">
        <f t="shared" si="31"/>
        <v>1.33</v>
      </c>
      <c r="R187" s="5">
        <f t="shared" si="31"/>
        <v>1.11</v>
      </c>
      <c r="S187" s="5">
        <f t="shared" si="30"/>
        <v>1.05</v>
      </c>
      <c r="T187" s="5">
        <f t="shared" si="30"/>
        <v>0.89</v>
      </c>
      <c r="U187" s="5">
        <f t="shared" si="30"/>
        <v>0.78</v>
      </c>
      <c r="V187" s="5">
        <f t="shared" si="30"/>
        <v>0.77</v>
      </c>
      <c r="W187" s="5">
        <f t="shared" si="30"/>
        <v>0.74</v>
      </c>
      <c r="X187" s="5">
        <f t="shared" si="30"/>
        <v>0.72</v>
      </c>
      <c r="Y187" s="5">
        <f t="shared" si="30"/>
        <v>0.7</v>
      </c>
      <c r="Z187" s="5">
        <f t="shared" si="30"/>
        <v>0.7</v>
      </c>
      <c r="AA187" s="5">
        <f t="shared" si="30"/>
        <v>0.7</v>
      </c>
      <c r="AB187" s="5">
        <f t="shared" si="30"/>
        <v>0.7</v>
      </c>
      <c r="AC187" s="5">
        <f t="shared" si="30"/>
        <v>0.68</v>
      </c>
      <c r="AD187" s="5">
        <f t="shared" si="30"/>
        <v>0.68</v>
      </c>
      <c r="AE187" s="5">
        <f t="shared" si="30"/>
        <v>0.67</v>
      </c>
      <c r="AF187" s="5">
        <f t="shared" si="30"/>
        <v>0.67</v>
      </c>
      <c r="AG187" s="5">
        <f t="shared" si="30"/>
        <v>0.66</v>
      </c>
      <c r="AH187" s="5">
        <f t="shared" si="27"/>
        <v>0.66</v>
      </c>
      <c r="AI187" s="5">
        <f t="shared" si="27"/>
        <v>0.66</v>
      </c>
      <c r="AJ187" s="5">
        <f t="shared" si="27"/>
        <v>0.66</v>
      </c>
    </row>
    <row r="188" spans="1:36">
      <c r="A188" t="str">
        <f>"electricity_archetype_"&amp;TEXT(ROUND(Table2[[#This Row],[2016]],1),"0.0")</f>
        <v>electricity_archetype_1.9</v>
      </c>
      <c r="B188" s="5">
        <f t="shared" si="24"/>
        <v>1.9</v>
      </c>
      <c r="C188" s="5">
        <f t="shared" si="31"/>
        <v>1.9</v>
      </c>
      <c r="D188" s="5">
        <f t="shared" si="31"/>
        <v>1.9</v>
      </c>
      <c r="E188" s="5">
        <f t="shared" si="31"/>
        <v>1.86</v>
      </c>
      <c r="F188" s="5">
        <f t="shared" si="31"/>
        <v>1.78</v>
      </c>
      <c r="G188" s="5">
        <f t="shared" si="31"/>
        <v>1.8</v>
      </c>
      <c r="H188" s="5">
        <f t="shared" si="31"/>
        <v>1.76</v>
      </c>
      <c r="I188" s="5">
        <f t="shared" si="31"/>
        <v>1.69</v>
      </c>
      <c r="J188" s="5">
        <f t="shared" si="31"/>
        <v>1.65</v>
      </c>
      <c r="K188" s="5">
        <f t="shared" si="31"/>
        <v>1.61</v>
      </c>
      <c r="L188" s="5">
        <f t="shared" si="31"/>
        <v>1.58</v>
      </c>
      <c r="M188" s="5">
        <f t="shared" si="31"/>
        <v>1.58</v>
      </c>
      <c r="N188" s="5">
        <f t="shared" si="31"/>
        <v>1.53</v>
      </c>
      <c r="O188" s="5">
        <f t="shared" si="31"/>
        <v>1.48</v>
      </c>
      <c r="P188" s="5">
        <f t="shared" si="31"/>
        <v>1.44</v>
      </c>
      <c r="Q188" s="5">
        <f t="shared" si="31"/>
        <v>1.28</v>
      </c>
      <c r="R188" s="5">
        <f t="shared" si="31"/>
        <v>1.08</v>
      </c>
      <c r="S188" s="5">
        <f t="shared" si="30"/>
        <v>1.02</v>
      </c>
      <c r="T188" s="5">
        <f t="shared" si="30"/>
        <v>0.88</v>
      </c>
      <c r="U188" s="5">
        <f t="shared" si="30"/>
        <v>0.77</v>
      </c>
      <c r="V188" s="5">
        <f t="shared" si="30"/>
        <v>0.76</v>
      </c>
      <c r="W188" s="5">
        <f t="shared" si="30"/>
        <v>0.73</v>
      </c>
      <c r="X188" s="5">
        <f t="shared" si="30"/>
        <v>0.71</v>
      </c>
      <c r="Y188" s="5">
        <f t="shared" si="30"/>
        <v>0.69</v>
      </c>
      <c r="Z188" s="5">
        <f t="shared" si="30"/>
        <v>0.7</v>
      </c>
      <c r="AA188" s="5">
        <f t="shared" si="30"/>
        <v>0.69</v>
      </c>
      <c r="AB188" s="5">
        <f t="shared" si="30"/>
        <v>0.69</v>
      </c>
      <c r="AC188" s="5">
        <f t="shared" si="30"/>
        <v>0.68</v>
      </c>
      <c r="AD188" s="5">
        <f t="shared" si="30"/>
        <v>0.67</v>
      </c>
      <c r="AE188" s="5">
        <f t="shared" si="30"/>
        <v>0.67</v>
      </c>
      <c r="AF188" s="5">
        <f t="shared" si="30"/>
        <v>0.67</v>
      </c>
      <c r="AG188" s="5">
        <f t="shared" si="30"/>
        <v>0.66</v>
      </c>
      <c r="AH188" s="5">
        <f t="shared" si="27"/>
        <v>0.66</v>
      </c>
      <c r="AI188" s="5">
        <f t="shared" si="27"/>
        <v>0.66</v>
      </c>
      <c r="AJ188" s="5">
        <f t="shared" si="27"/>
        <v>0.66</v>
      </c>
    </row>
    <row r="189" spans="1:36">
      <c r="A189" t="str">
        <f>"electricity_archetype_"&amp;TEXT(ROUND(Table2[[#This Row],[2016]],1),"0.0")</f>
        <v>electricity_archetype_1.8</v>
      </c>
      <c r="B189" s="5">
        <f t="shared" si="24"/>
        <v>1.8</v>
      </c>
      <c r="C189" s="5">
        <f t="shared" si="31"/>
        <v>1.8</v>
      </c>
      <c r="D189" s="5">
        <f t="shared" si="31"/>
        <v>1.8</v>
      </c>
      <c r="E189" s="5">
        <f t="shared" si="31"/>
        <v>1.77</v>
      </c>
      <c r="F189" s="5">
        <f t="shared" si="31"/>
        <v>1.69</v>
      </c>
      <c r="G189" s="5">
        <f t="shared" si="31"/>
        <v>1.71</v>
      </c>
      <c r="H189" s="5">
        <f t="shared" si="31"/>
        <v>1.67</v>
      </c>
      <c r="I189" s="5">
        <f t="shared" si="31"/>
        <v>1.61</v>
      </c>
      <c r="J189" s="5">
        <f t="shared" si="31"/>
        <v>1.57</v>
      </c>
      <c r="K189" s="5">
        <f t="shared" si="31"/>
        <v>1.54</v>
      </c>
      <c r="L189" s="5">
        <f t="shared" si="31"/>
        <v>1.51</v>
      </c>
      <c r="M189" s="5">
        <f t="shared" si="31"/>
        <v>1.51</v>
      </c>
      <c r="N189" s="5">
        <f t="shared" si="31"/>
        <v>1.46</v>
      </c>
      <c r="O189" s="5">
        <f t="shared" si="31"/>
        <v>1.41</v>
      </c>
      <c r="P189" s="5">
        <f t="shared" si="31"/>
        <v>1.37</v>
      </c>
      <c r="Q189" s="5">
        <f t="shared" si="31"/>
        <v>1.23</v>
      </c>
      <c r="R189" s="5">
        <f t="shared" si="31"/>
        <v>1.04</v>
      </c>
      <c r="S189" s="5">
        <f t="shared" si="30"/>
        <v>0.99</v>
      </c>
      <c r="T189" s="5">
        <f t="shared" si="30"/>
        <v>0.86</v>
      </c>
      <c r="U189" s="5">
        <f t="shared" si="30"/>
        <v>0.77</v>
      </c>
      <c r="V189" s="5">
        <f t="shared" si="30"/>
        <v>0.75</v>
      </c>
      <c r="W189" s="5">
        <f t="shared" si="30"/>
        <v>0.73</v>
      </c>
      <c r="X189" s="5">
        <f t="shared" si="30"/>
        <v>0.71</v>
      </c>
      <c r="Y189" s="5">
        <f t="shared" si="30"/>
        <v>0.69</v>
      </c>
      <c r="Z189" s="5">
        <f t="shared" si="30"/>
        <v>0.7</v>
      </c>
      <c r="AA189" s="5">
        <f t="shared" si="30"/>
        <v>0.69</v>
      </c>
      <c r="AB189" s="5">
        <f t="shared" si="30"/>
        <v>0.69</v>
      </c>
      <c r="AC189" s="5">
        <f t="shared" si="30"/>
        <v>0.68</v>
      </c>
      <c r="AD189" s="5">
        <f t="shared" si="30"/>
        <v>0.67</v>
      </c>
      <c r="AE189" s="5">
        <f t="shared" si="30"/>
        <v>0.67</v>
      </c>
      <c r="AF189" s="5">
        <f t="shared" si="30"/>
        <v>0.67</v>
      </c>
      <c r="AG189" s="5">
        <f t="shared" si="30"/>
        <v>0.66</v>
      </c>
      <c r="AH189" s="5">
        <f t="shared" si="27"/>
        <v>0.66</v>
      </c>
      <c r="AI189" s="5">
        <f t="shared" si="27"/>
        <v>0.66</v>
      </c>
      <c r="AJ189" s="5">
        <f t="shared" si="27"/>
        <v>0.66</v>
      </c>
    </row>
    <row r="190" spans="1:36">
      <c r="A190" t="str">
        <f>"electricity_archetype_"&amp;TEXT(ROUND(Table2[[#This Row],[2016]],1),"0.0")</f>
        <v>electricity_archetype_1.7</v>
      </c>
      <c r="B190" s="5">
        <f t="shared" si="24"/>
        <v>1.7</v>
      </c>
      <c r="C190" s="5">
        <f t="shared" si="31"/>
        <v>1.7</v>
      </c>
      <c r="D190" s="5">
        <f t="shared" si="31"/>
        <v>1.7</v>
      </c>
      <c r="E190" s="5">
        <f t="shared" si="31"/>
        <v>1.67</v>
      </c>
      <c r="F190" s="5">
        <f t="shared" si="31"/>
        <v>1.6</v>
      </c>
      <c r="G190" s="5">
        <f t="shared" si="31"/>
        <v>1.62</v>
      </c>
      <c r="H190" s="5">
        <f t="shared" si="31"/>
        <v>1.58</v>
      </c>
      <c r="I190" s="5">
        <f t="shared" si="31"/>
        <v>1.52</v>
      </c>
      <c r="J190" s="5">
        <f t="shared" si="31"/>
        <v>1.49</v>
      </c>
      <c r="K190" s="5">
        <f t="shared" si="31"/>
        <v>1.46</v>
      </c>
      <c r="L190" s="5">
        <f t="shared" si="31"/>
        <v>1.44</v>
      </c>
      <c r="M190" s="5">
        <f t="shared" si="31"/>
        <v>1.43</v>
      </c>
      <c r="N190" s="5">
        <f t="shared" si="31"/>
        <v>1.39</v>
      </c>
      <c r="O190" s="5">
        <f t="shared" si="31"/>
        <v>1.35</v>
      </c>
      <c r="P190" s="5">
        <f t="shared" si="31"/>
        <v>1.31</v>
      </c>
      <c r="Q190" s="5">
        <f t="shared" si="31"/>
        <v>1.18</v>
      </c>
      <c r="R190" s="5">
        <f t="shared" ref="R190:AG200" si="32">MROUND((($B190-$AJ$2)*((R$2-$AJ$2)/($B$2-$AJ$2)))+$AJ$2,0.01)</f>
        <v>1.01</v>
      </c>
      <c r="S190" s="5">
        <f t="shared" si="32"/>
        <v>0.97</v>
      </c>
      <c r="T190" s="5">
        <f t="shared" si="32"/>
        <v>0.84</v>
      </c>
      <c r="U190" s="5">
        <f t="shared" si="32"/>
        <v>0.76</v>
      </c>
      <c r="V190" s="5">
        <f t="shared" si="32"/>
        <v>0.74</v>
      </c>
      <c r="W190" s="5">
        <f t="shared" si="32"/>
        <v>0.72</v>
      </c>
      <c r="X190" s="5">
        <f t="shared" si="32"/>
        <v>0.7</v>
      </c>
      <c r="Y190" s="5">
        <f t="shared" si="32"/>
        <v>0.69</v>
      </c>
      <c r="Z190" s="5">
        <f t="shared" si="32"/>
        <v>0.69</v>
      </c>
      <c r="AA190" s="5">
        <f t="shared" si="32"/>
        <v>0.69</v>
      </c>
      <c r="AB190" s="5">
        <f t="shared" si="32"/>
        <v>0.69</v>
      </c>
      <c r="AC190" s="5">
        <f t="shared" si="32"/>
        <v>0.67</v>
      </c>
      <c r="AD190" s="5">
        <f t="shared" si="32"/>
        <v>0.67</v>
      </c>
      <c r="AE190" s="5">
        <f t="shared" si="32"/>
        <v>0.67</v>
      </c>
      <c r="AF190" s="5">
        <f t="shared" si="32"/>
        <v>0.66</v>
      </c>
      <c r="AG190" s="5">
        <f t="shared" si="32"/>
        <v>0.66</v>
      </c>
      <c r="AH190" s="5">
        <f t="shared" si="27"/>
        <v>0.66</v>
      </c>
      <c r="AI190" s="5">
        <f t="shared" si="27"/>
        <v>0.66</v>
      </c>
      <c r="AJ190" s="5">
        <f t="shared" si="27"/>
        <v>0.66</v>
      </c>
    </row>
    <row r="191" spans="1:36">
      <c r="A191" t="str">
        <f>"electricity_archetype_"&amp;TEXT(ROUND(Table2[[#This Row],[2016]],1),"0.0")</f>
        <v>electricity_archetype_1.6</v>
      </c>
      <c r="B191" s="5">
        <f t="shared" si="24"/>
        <v>1.6</v>
      </c>
      <c r="C191" s="5">
        <f t="shared" ref="C191:R200" si="33">MROUND((($B191-$AJ$2)*((C$2-$AJ$2)/($B$2-$AJ$2)))+$AJ$2,0.01)</f>
        <v>1.6</v>
      </c>
      <c r="D191" s="5">
        <f t="shared" si="33"/>
        <v>1.6</v>
      </c>
      <c r="E191" s="5">
        <f t="shared" si="33"/>
        <v>1.57</v>
      </c>
      <c r="F191" s="5">
        <f t="shared" si="33"/>
        <v>1.51</v>
      </c>
      <c r="G191" s="5">
        <f t="shared" si="33"/>
        <v>1.53</v>
      </c>
      <c r="H191" s="5">
        <f t="shared" si="33"/>
        <v>1.49</v>
      </c>
      <c r="I191" s="5">
        <f t="shared" si="33"/>
        <v>1.44</v>
      </c>
      <c r="J191" s="5">
        <f t="shared" si="33"/>
        <v>1.41</v>
      </c>
      <c r="K191" s="5">
        <f t="shared" si="33"/>
        <v>1.38</v>
      </c>
      <c r="L191" s="5">
        <f t="shared" si="33"/>
        <v>1.36</v>
      </c>
      <c r="M191" s="5">
        <f t="shared" si="33"/>
        <v>1.36</v>
      </c>
      <c r="N191" s="5">
        <f t="shared" si="33"/>
        <v>1.32</v>
      </c>
      <c r="O191" s="5">
        <f t="shared" si="33"/>
        <v>1.28</v>
      </c>
      <c r="P191" s="5">
        <f t="shared" si="33"/>
        <v>1.25</v>
      </c>
      <c r="Q191" s="5">
        <f t="shared" si="33"/>
        <v>1.13</v>
      </c>
      <c r="R191" s="5">
        <f t="shared" si="33"/>
        <v>0.98</v>
      </c>
      <c r="S191" s="5">
        <f t="shared" si="32"/>
        <v>0.94</v>
      </c>
      <c r="T191" s="5">
        <f t="shared" si="32"/>
        <v>0.82</v>
      </c>
      <c r="U191" s="5">
        <f t="shared" si="32"/>
        <v>0.75</v>
      </c>
      <c r="V191" s="5">
        <f t="shared" si="32"/>
        <v>0.73</v>
      </c>
      <c r="W191" s="5">
        <f t="shared" si="32"/>
        <v>0.71</v>
      </c>
      <c r="X191" s="5">
        <f t="shared" si="32"/>
        <v>0.7</v>
      </c>
      <c r="Y191" s="5">
        <f t="shared" si="32"/>
        <v>0.69</v>
      </c>
      <c r="Z191" s="5">
        <f t="shared" si="32"/>
        <v>0.69</v>
      </c>
      <c r="AA191" s="5">
        <f t="shared" si="32"/>
        <v>0.69</v>
      </c>
      <c r="AB191" s="5">
        <f t="shared" si="32"/>
        <v>0.68</v>
      </c>
      <c r="AC191" s="5">
        <f t="shared" si="32"/>
        <v>0.67</v>
      </c>
      <c r="AD191" s="5">
        <f t="shared" si="32"/>
        <v>0.67</v>
      </c>
      <c r="AE191" s="5">
        <f t="shared" si="32"/>
        <v>0.67</v>
      </c>
      <c r="AF191" s="5">
        <f t="shared" si="32"/>
        <v>0.66</v>
      </c>
      <c r="AG191" s="5">
        <f t="shared" si="32"/>
        <v>0.66</v>
      </c>
      <c r="AH191" s="5">
        <f t="shared" si="27"/>
        <v>0.66</v>
      </c>
      <c r="AI191" s="5">
        <f t="shared" si="27"/>
        <v>0.66</v>
      </c>
      <c r="AJ191" s="5">
        <f t="shared" si="27"/>
        <v>0.66</v>
      </c>
    </row>
    <row r="192" spans="1:36">
      <c r="A192" t="str">
        <f>"electricity_archetype_"&amp;TEXT(ROUND(Table2[[#This Row],[2016]],1),"0.0")</f>
        <v>electricity_archetype_1.5</v>
      </c>
      <c r="B192" s="5">
        <f t="shared" si="24"/>
        <v>1.5</v>
      </c>
      <c r="C192" s="5">
        <f t="shared" si="33"/>
        <v>1.5</v>
      </c>
      <c r="D192" s="5">
        <f t="shared" si="33"/>
        <v>1.5</v>
      </c>
      <c r="E192" s="5">
        <f t="shared" si="33"/>
        <v>1.48</v>
      </c>
      <c r="F192" s="5">
        <f t="shared" si="33"/>
        <v>1.42</v>
      </c>
      <c r="G192" s="5">
        <f t="shared" si="33"/>
        <v>1.43</v>
      </c>
      <c r="H192" s="5">
        <f t="shared" si="33"/>
        <v>1.4</v>
      </c>
      <c r="I192" s="5">
        <f t="shared" si="33"/>
        <v>1.36</v>
      </c>
      <c r="J192" s="5">
        <f t="shared" si="33"/>
        <v>1.33</v>
      </c>
      <c r="K192" s="5">
        <f t="shared" si="33"/>
        <v>1.31</v>
      </c>
      <c r="L192" s="5">
        <f t="shared" si="33"/>
        <v>1.29</v>
      </c>
      <c r="M192" s="5">
        <f t="shared" si="33"/>
        <v>1.28</v>
      </c>
      <c r="N192" s="5">
        <f t="shared" si="33"/>
        <v>1.25</v>
      </c>
      <c r="O192" s="5">
        <f t="shared" si="33"/>
        <v>1.22</v>
      </c>
      <c r="P192" s="5">
        <f t="shared" si="33"/>
        <v>1.19</v>
      </c>
      <c r="Q192" s="5">
        <f t="shared" si="33"/>
        <v>1.08</v>
      </c>
      <c r="R192" s="5">
        <f t="shared" si="33"/>
        <v>0.94</v>
      </c>
      <c r="S192" s="5">
        <f t="shared" si="32"/>
        <v>0.91</v>
      </c>
      <c r="T192" s="5">
        <f t="shared" si="32"/>
        <v>0.81</v>
      </c>
      <c r="U192" s="5">
        <f t="shared" si="32"/>
        <v>0.74</v>
      </c>
      <c r="V192" s="5">
        <f t="shared" si="32"/>
        <v>0.72</v>
      </c>
      <c r="W192" s="5">
        <f t="shared" si="32"/>
        <v>0.71</v>
      </c>
      <c r="X192" s="5">
        <f t="shared" si="32"/>
        <v>0.69</v>
      </c>
      <c r="Y192" s="5">
        <f t="shared" si="32"/>
        <v>0.68</v>
      </c>
      <c r="Z192" s="5">
        <f t="shared" si="32"/>
        <v>0.69</v>
      </c>
      <c r="AA192" s="5">
        <f t="shared" si="32"/>
        <v>0.68</v>
      </c>
      <c r="AB192" s="5">
        <f t="shared" si="32"/>
        <v>0.68</v>
      </c>
      <c r="AC192" s="5">
        <f t="shared" si="32"/>
        <v>0.67</v>
      </c>
      <c r="AD192" s="5">
        <f t="shared" si="32"/>
        <v>0.67</v>
      </c>
      <c r="AE192" s="5">
        <f t="shared" si="32"/>
        <v>0.67</v>
      </c>
      <c r="AF192" s="5">
        <f t="shared" si="32"/>
        <v>0.66</v>
      </c>
      <c r="AG192" s="5">
        <f t="shared" si="32"/>
        <v>0.66</v>
      </c>
      <c r="AH192" s="5">
        <f t="shared" si="27"/>
        <v>0.66</v>
      </c>
      <c r="AI192" s="5">
        <f t="shared" si="27"/>
        <v>0.66</v>
      </c>
      <c r="AJ192" s="5">
        <f t="shared" si="27"/>
        <v>0.66</v>
      </c>
    </row>
    <row r="193" spans="1:36">
      <c r="A193" t="str">
        <f>"electricity_archetype_"&amp;TEXT(ROUND(Table2[[#This Row],[2016]],1),"0.0")</f>
        <v>electricity_archetype_1.4</v>
      </c>
      <c r="B193" s="5">
        <f t="shared" si="24"/>
        <v>1.4</v>
      </c>
      <c r="C193" s="5">
        <f t="shared" si="33"/>
        <v>1.4</v>
      </c>
      <c r="D193" s="5">
        <f t="shared" si="33"/>
        <v>1.4</v>
      </c>
      <c r="E193" s="5">
        <f t="shared" si="33"/>
        <v>1.38</v>
      </c>
      <c r="F193" s="5">
        <f t="shared" si="33"/>
        <v>1.33</v>
      </c>
      <c r="G193" s="5">
        <f t="shared" si="33"/>
        <v>1.34</v>
      </c>
      <c r="H193" s="5">
        <f t="shared" si="33"/>
        <v>1.32</v>
      </c>
      <c r="I193" s="5">
        <f t="shared" si="33"/>
        <v>1.27</v>
      </c>
      <c r="J193" s="5">
        <f t="shared" si="33"/>
        <v>1.25</v>
      </c>
      <c r="K193" s="5">
        <f t="shared" si="33"/>
        <v>1.23</v>
      </c>
      <c r="L193" s="5">
        <f t="shared" si="33"/>
        <v>1.21</v>
      </c>
      <c r="M193" s="5">
        <f t="shared" si="33"/>
        <v>1.21</v>
      </c>
      <c r="N193" s="5">
        <f t="shared" si="33"/>
        <v>1.18</v>
      </c>
      <c r="O193" s="5">
        <f t="shared" si="33"/>
        <v>1.15</v>
      </c>
      <c r="P193" s="5">
        <f t="shared" si="33"/>
        <v>1.12</v>
      </c>
      <c r="Q193" s="5">
        <f t="shared" si="33"/>
        <v>1.03</v>
      </c>
      <c r="R193" s="5">
        <f t="shared" si="33"/>
        <v>0.91</v>
      </c>
      <c r="S193" s="5">
        <f t="shared" si="32"/>
        <v>0.88</v>
      </c>
      <c r="T193" s="5">
        <f t="shared" si="32"/>
        <v>0.79</v>
      </c>
      <c r="U193" s="5">
        <f t="shared" si="32"/>
        <v>0.73</v>
      </c>
      <c r="V193" s="5">
        <f t="shared" si="32"/>
        <v>0.72</v>
      </c>
      <c r="W193" s="5">
        <f t="shared" si="32"/>
        <v>0.7</v>
      </c>
      <c r="X193" s="5">
        <f t="shared" si="32"/>
        <v>0.69</v>
      </c>
      <c r="Y193" s="5">
        <f t="shared" si="32"/>
        <v>0.68</v>
      </c>
      <c r="Z193" s="5">
        <f t="shared" si="32"/>
        <v>0.68</v>
      </c>
      <c r="AA193" s="5">
        <f t="shared" si="32"/>
        <v>0.68</v>
      </c>
      <c r="AB193" s="5">
        <f t="shared" si="32"/>
        <v>0.68</v>
      </c>
      <c r="AC193" s="5">
        <f t="shared" si="32"/>
        <v>0.67</v>
      </c>
      <c r="AD193" s="5">
        <f t="shared" si="32"/>
        <v>0.67</v>
      </c>
      <c r="AE193" s="5">
        <f t="shared" si="32"/>
        <v>0.67</v>
      </c>
      <c r="AF193" s="5">
        <f t="shared" si="32"/>
        <v>0.66</v>
      </c>
      <c r="AG193" s="5">
        <f t="shared" si="32"/>
        <v>0.66</v>
      </c>
      <c r="AH193" s="5">
        <f t="shared" si="27"/>
        <v>0.66</v>
      </c>
      <c r="AI193" s="5">
        <f t="shared" si="27"/>
        <v>0.66</v>
      </c>
      <c r="AJ193" s="5">
        <f t="shared" si="27"/>
        <v>0.66</v>
      </c>
    </row>
    <row r="194" spans="1:36">
      <c r="A194" t="str">
        <f>"electricity_archetype_"&amp;TEXT(ROUND(Table2[[#This Row],[2016]],1),"0.0")</f>
        <v>electricity_archetype_1.3</v>
      </c>
      <c r="B194" s="5">
        <f t="shared" si="24"/>
        <v>1.3</v>
      </c>
      <c r="C194" s="5">
        <f t="shared" si="33"/>
        <v>1.3</v>
      </c>
      <c r="D194" s="5">
        <f t="shared" si="33"/>
        <v>1.3</v>
      </c>
      <c r="E194" s="5">
        <f t="shared" si="33"/>
        <v>1.28</v>
      </c>
      <c r="F194" s="5">
        <f t="shared" si="33"/>
        <v>1.24</v>
      </c>
      <c r="G194" s="5">
        <f t="shared" si="33"/>
        <v>1.25</v>
      </c>
      <c r="H194" s="5">
        <f t="shared" si="33"/>
        <v>1.23</v>
      </c>
      <c r="I194" s="5">
        <f t="shared" si="33"/>
        <v>1.19</v>
      </c>
      <c r="J194" s="5">
        <f t="shared" si="33"/>
        <v>1.17</v>
      </c>
      <c r="K194" s="5">
        <f t="shared" si="33"/>
        <v>1.15</v>
      </c>
      <c r="L194" s="5">
        <f t="shared" si="33"/>
        <v>1.14</v>
      </c>
      <c r="M194" s="5">
        <f t="shared" si="33"/>
        <v>1.14</v>
      </c>
      <c r="N194" s="5">
        <f t="shared" si="33"/>
        <v>1.11</v>
      </c>
      <c r="O194" s="5">
        <f t="shared" si="33"/>
        <v>1.08</v>
      </c>
      <c r="P194" s="5">
        <f t="shared" si="33"/>
        <v>1.06</v>
      </c>
      <c r="Q194" s="5">
        <f t="shared" si="33"/>
        <v>0.98</v>
      </c>
      <c r="R194" s="5">
        <f t="shared" si="33"/>
        <v>0.88</v>
      </c>
      <c r="S194" s="5">
        <f t="shared" si="32"/>
        <v>0.85</v>
      </c>
      <c r="T194" s="5">
        <f t="shared" si="32"/>
        <v>0.77</v>
      </c>
      <c r="U194" s="5">
        <f t="shared" si="32"/>
        <v>0.72</v>
      </c>
      <c r="V194" s="5">
        <f t="shared" si="32"/>
        <v>0.71</v>
      </c>
      <c r="W194" s="5">
        <f t="shared" si="32"/>
        <v>0.7</v>
      </c>
      <c r="X194" s="5">
        <f t="shared" si="32"/>
        <v>0.69</v>
      </c>
      <c r="Y194" s="5">
        <f t="shared" si="32"/>
        <v>0.68</v>
      </c>
      <c r="Z194" s="5">
        <f t="shared" si="32"/>
        <v>0.68</v>
      </c>
      <c r="AA194" s="5">
        <f t="shared" si="32"/>
        <v>0.68</v>
      </c>
      <c r="AB194" s="5">
        <f t="shared" si="32"/>
        <v>0.68</v>
      </c>
      <c r="AC194" s="5">
        <f t="shared" si="32"/>
        <v>0.67</v>
      </c>
      <c r="AD194" s="5">
        <f t="shared" si="32"/>
        <v>0.67</v>
      </c>
      <c r="AE194" s="5">
        <f t="shared" si="32"/>
        <v>0.66</v>
      </c>
      <c r="AF194" s="5">
        <f t="shared" si="32"/>
        <v>0.66</v>
      </c>
      <c r="AG194" s="5">
        <f t="shared" si="32"/>
        <v>0.66</v>
      </c>
      <c r="AH194" s="5">
        <f t="shared" si="27"/>
        <v>0.66</v>
      </c>
      <c r="AI194" s="5">
        <f t="shared" si="27"/>
        <v>0.66</v>
      </c>
      <c r="AJ194" s="5">
        <f t="shared" si="27"/>
        <v>0.66</v>
      </c>
    </row>
    <row r="195" spans="1:36">
      <c r="A195" t="str">
        <f>"electricity_archetype_"&amp;TEXT(ROUND(Table2[[#This Row],[2016]],1),"0.0")</f>
        <v>electricity_archetype_1.2</v>
      </c>
      <c r="B195" s="5">
        <f t="shared" si="24"/>
        <v>1.2</v>
      </c>
      <c r="C195" s="5">
        <f t="shared" si="33"/>
        <v>1.2</v>
      </c>
      <c r="D195" s="5">
        <f t="shared" si="33"/>
        <v>1.2</v>
      </c>
      <c r="E195" s="5">
        <f t="shared" si="33"/>
        <v>1.18</v>
      </c>
      <c r="F195" s="5">
        <f t="shared" si="33"/>
        <v>1.15</v>
      </c>
      <c r="G195" s="5">
        <f t="shared" si="33"/>
        <v>1.16</v>
      </c>
      <c r="H195" s="5">
        <f t="shared" si="33"/>
        <v>1.14</v>
      </c>
      <c r="I195" s="5">
        <f t="shared" si="33"/>
        <v>1.11</v>
      </c>
      <c r="J195" s="5">
        <f t="shared" si="33"/>
        <v>1.09</v>
      </c>
      <c r="K195" s="5">
        <f t="shared" si="33"/>
        <v>1.07</v>
      </c>
      <c r="L195" s="5">
        <f t="shared" si="33"/>
        <v>1.06</v>
      </c>
      <c r="M195" s="5">
        <f t="shared" si="33"/>
        <v>1.06</v>
      </c>
      <c r="N195" s="5">
        <f t="shared" si="33"/>
        <v>1.04</v>
      </c>
      <c r="O195" s="5">
        <f t="shared" si="33"/>
        <v>1.02</v>
      </c>
      <c r="P195" s="5">
        <f t="shared" si="33"/>
        <v>1</v>
      </c>
      <c r="Q195" s="5">
        <f t="shared" si="33"/>
        <v>0.93</v>
      </c>
      <c r="R195" s="5">
        <f t="shared" si="33"/>
        <v>0.84</v>
      </c>
      <c r="S195" s="5">
        <f t="shared" si="32"/>
        <v>0.82</v>
      </c>
      <c r="T195" s="5">
        <f t="shared" si="32"/>
        <v>0.75</v>
      </c>
      <c r="U195" s="5">
        <f t="shared" si="32"/>
        <v>0.71</v>
      </c>
      <c r="V195" s="5">
        <f t="shared" si="32"/>
        <v>0.7</v>
      </c>
      <c r="W195" s="5">
        <f t="shared" si="32"/>
        <v>0.69</v>
      </c>
      <c r="X195" s="5">
        <f t="shared" si="32"/>
        <v>0.68</v>
      </c>
      <c r="Y195" s="5">
        <f t="shared" si="32"/>
        <v>0.67</v>
      </c>
      <c r="Z195" s="5">
        <f t="shared" si="32"/>
        <v>0.68</v>
      </c>
      <c r="AA195" s="5">
        <f t="shared" si="32"/>
        <v>0.67</v>
      </c>
      <c r="AB195" s="5">
        <f t="shared" si="32"/>
        <v>0.67</v>
      </c>
      <c r="AC195" s="5">
        <f t="shared" si="32"/>
        <v>0.67</v>
      </c>
      <c r="AD195" s="5">
        <f t="shared" si="32"/>
        <v>0.66</v>
      </c>
      <c r="AE195" s="5">
        <f t="shared" si="32"/>
        <v>0.66</v>
      </c>
      <c r="AF195" s="5">
        <f t="shared" si="32"/>
        <v>0.66</v>
      </c>
      <c r="AG195" s="5">
        <f t="shared" si="32"/>
        <v>0.66</v>
      </c>
      <c r="AH195" s="5">
        <f t="shared" si="27"/>
        <v>0.66</v>
      </c>
      <c r="AI195" s="5">
        <f t="shared" si="27"/>
        <v>0.66</v>
      </c>
      <c r="AJ195" s="5">
        <f t="shared" si="27"/>
        <v>0.66</v>
      </c>
    </row>
    <row r="196" spans="1:36">
      <c r="A196" t="str">
        <f>"electricity_archetype_"&amp;TEXT(ROUND(Table2[[#This Row],[2016]],1),"0.0")</f>
        <v>electricity_archetype_1.1</v>
      </c>
      <c r="B196" s="5">
        <f t="shared" si="24"/>
        <v>1.1</v>
      </c>
      <c r="C196" s="5">
        <f t="shared" si="33"/>
        <v>1.1</v>
      </c>
      <c r="D196" s="5">
        <f t="shared" si="33"/>
        <v>1.1</v>
      </c>
      <c r="E196" s="5">
        <f t="shared" si="33"/>
        <v>1.09</v>
      </c>
      <c r="F196" s="5">
        <f t="shared" si="33"/>
        <v>1.06</v>
      </c>
      <c r="G196" s="5">
        <f t="shared" si="33"/>
        <v>1.07</v>
      </c>
      <c r="H196" s="5">
        <f t="shared" si="33"/>
        <v>1.05</v>
      </c>
      <c r="I196" s="5">
        <f t="shared" si="33"/>
        <v>1.02</v>
      </c>
      <c r="J196" s="5">
        <f t="shared" si="33"/>
        <v>1.01</v>
      </c>
      <c r="K196" s="5">
        <f t="shared" si="33"/>
        <v>1</v>
      </c>
      <c r="L196" s="5">
        <f t="shared" si="33"/>
        <v>0.99</v>
      </c>
      <c r="M196" s="5">
        <f t="shared" si="33"/>
        <v>0.99</v>
      </c>
      <c r="N196" s="5">
        <f t="shared" si="33"/>
        <v>0.97</v>
      </c>
      <c r="O196" s="5">
        <f t="shared" si="33"/>
        <v>0.95</v>
      </c>
      <c r="P196" s="5">
        <f t="shared" si="33"/>
        <v>0.94</v>
      </c>
      <c r="Q196" s="5">
        <f t="shared" si="33"/>
        <v>0.88</v>
      </c>
      <c r="R196" s="5">
        <f t="shared" si="33"/>
        <v>0.81</v>
      </c>
      <c r="S196" s="5">
        <f t="shared" si="32"/>
        <v>0.79</v>
      </c>
      <c r="T196" s="5">
        <f t="shared" si="32"/>
        <v>0.74</v>
      </c>
      <c r="U196" s="5">
        <f t="shared" si="32"/>
        <v>0.7</v>
      </c>
      <c r="V196" s="5">
        <f t="shared" si="32"/>
        <v>0.69</v>
      </c>
      <c r="W196" s="5">
        <f t="shared" si="32"/>
        <v>0.68</v>
      </c>
      <c r="X196" s="5">
        <f t="shared" si="32"/>
        <v>0.68</v>
      </c>
      <c r="Y196" s="5">
        <f t="shared" si="32"/>
        <v>0.67</v>
      </c>
      <c r="Z196" s="5">
        <f t="shared" si="32"/>
        <v>0.67</v>
      </c>
      <c r="AA196" s="5">
        <f t="shared" si="32"/>
        <v>0.67</v>
      </c>
      <c r="AB196" s="5">
        <f t="shared" si="32"/>
        <v>0.67</v>
      </c>
      <c r="AC196" s="5">
        <f t="shared" si="32"/>
        <v>0.66</v>
      </c>
      <c r="AD196" s="5">
        <f t="shared" si="32"/>
        <v>0.66</v>
      </c>
      <c r="AE196" s="5">
        <f t="shared" si="32"/>
        <v>0.66</v>
      </c>
      <c r="AF196" s="5">
        <f t="shared" si="32"/>
        <v>0.66</v>
      </c>
      <c r="AG196" s="5">
        <f t="shared" si="32"/>
        <v>0.66</v>
      </c>
      <c r="AH196" s="5">
        <f t="shared" si="27"/>
        <v>0.66</v>
      </c>
      <c r="AI196" s="5">
        <f t="shared" si="27"/>
        <v>0.66</v>
      </c>
      <c r="AJ196" s="5">
        <f t="shared" si="27"/>
        <v>0.66</v>
      </c>
    </row>
    <row r="197" spans="1:36">
      <c r="A197" t="str">
        <f>"electricity_archetype_"&amp;TEXT(ROUND(Table2[[#This Row],[2016]],1),"0.0")</f>
        <v>electricity_archetype_1.0</v>
      </c>
      <c r="B197" s="5">
        <f t="shared" si="24"/>
        <v>1</v>
      </c>
      <c r="C197" s="5">
        <f t="shared" si="33"/>
        <v>1</v>
      </c>
      <c r="D197" s="5">
        <f t="shared" si="33"/>
        <v>1</v>
      </c>
      <c r="E197" s="5">
        <f t="shared" si="33"/>
        <v>0.99</v>
      </c>
      <c r="F197" s="5">
        <f t="shared" si="33"/>
        <v>0.97</v>
      </c>
      <c r="G197" s="5">
        <f t="shared" si="33"/>
        <v>0.97</v>
      </c>
      <c r="H197" s="5">
        <f t="shared" si="33"/>
        <v>0.96</v>
      </c>
      <c r="I197" s="5">
        <f t="shared" si="33"/>
        <v>0.94</v>
      </c>
      <c r="J197" s="5">
        <f t="shared" si="33"/>
        <v>0.93</v>
      </c>
      <c r="K197" s="5">
        <f t="shared" si="33"/>
        <v>0.92</v>
      </c>
      <c r="L197" s="5">
        <f t="shared" si="33"/>
        <v>0.91</v>
      </c>
      <c r="M197" s="5">
        <f t="shared" si="33"/>
        <v>0.91</v>
      </c>
      <c r="N197" s="5">
        <f t="shared" si="33"/>
        <v>0.9</v>
      </c>
      <c r="O197" s="5">
        <f t="shared" si="33"/>
        <v>0.88</v>
      </c>
      <c r="P197" s="5">
        <f t="shared" si="33"/>
        <v>0.87</v>
      </c>
      <c r="Q197" s="5">
        <f t="shared" si="33"/>
        <v>0.83</v>
      </c>
      <c r="R197" s="5">
        <f t="shared" si="33"/>
        <v>0.77</v>
      </c>
      <c r="S197" s="5">
        <f t="shared" si="32"/>
        <v>0.76</v>
      </c>
      <c r="T197" s="5">
        <f t="shared" si="32"/>
        <v>0.72</v>
      </c>
      <c r="U197" s="5">
        <f t="shared" si="32"/>
        <v>0.69</v>
      </c>
      <c r="V197" s="5">
        <f t="shared" si="32"/>
        <v>0.68</v>
      </c>
      <c r="W197" s="5">
        <f t="shared" si="32"/>
        <v>0.68</v>
      </c>
      <c r="X197" s="5">
        <f t="shared" si="32"/>
        <v>0.67</v>
      </c>
      <c r="Y197" s="5">
        <f t="shared" si="32"/>
        <v>0.67</v>
      </c>
      <c r="Z197" s="5">
        <f t="shared" si="32"/>
        <v>0.67</v>
      </c>
      <c r="AA197" s="5">
        <f t="shared" si="32"/>
        <v>0.67</v>
      </c>
      <c r="AB197" s="5">
        <f t="shared" si="32"/>
        <v>0.67</v>
      </c>
      <c r="AC197" s="5">
        <f t="shared" si="32"/>
        <v>0.66</v>
      </c>
      <c r="AD197" s="5">
        <f t="shared" si="32"/>
        <v>0.66</v>
      </c>
      <c r="AE197" s="5">
        <f t="shared" si="32"/>
        <v>0.66</v>
      </c>
      <c r="AF197" s="5">
        <f t="shared" si="32"/>
        <v>0.66</v>
      </c>
      <c r="AG197" s="5">
        <f t="shared" si="32"/>
        <v>0.66</v>
      </c>
      <c r="AH197" s="5">
        <f t="shared" si="27"/>
        <v>0.66</v>
      </c>
      <c r="AI197" s="5">
        <f t="shared" si="27"/>
        <v>0.66</v>
      </c>
      <c r="AJ197" s="5">
        <f t="shared" si="27"/>
        <v>0.66</v>
      </c>
    </row>
    <row r="198" spans="1:36">
      <c r="A198" t="str">
        <f>"electricity_archetype_"&amp;TEXT(ROUND(Table2[[#This Row],[2016]],1),"0.0")</f>
        <v>electricity_archetype_0.9</v>
      </c>
      <c r="B198" s="5">
        <f t="shared" si="24"/>
        <v>0.9</v>
      </c>
      <c r="C198" s="5">
        <f t="shared" si="33"/>
        <v>0.9</v>
      </c>
      <c r="D198" s="5">
        <f t="shared" si="33"/>
        <v>0.9</v>
      </c>
      <c r="E198" s="5">
        <f t="shared" si="33"/>
        <v>0.89</v>
      </c>
      <c r="F198" s="5">
        <f t="shared" si="33"/>
        <v>0.88</v>
      </c>
      <c r="G198" s="5">
        <f t="shared" si="33"/>
        <v>0.88</v>
      </c>
      <c r="H198" s="5">
        <f t="shared" si="33"/>
        <v>0.87</v>
      </c>
      <c r="I198" s="5">
        <f t="shared" si="33"/>
        <v>0.86</v>
      </c>
      <c r="J198" s="5">
        <f t="shared" si="33"/>
        <v>0.85</v>
      </c>
      <c r="K198" s="5">
        <f t="shared" si="33"/>
        <v>0.84</v>
      </c>
      <c r="L198" s="5">
        <f t="shared" si="33"/>
        <v>0.84</v>
      </c>
      <c r="M198" s="5">
        <f t="shared" si="33"/>
        <v>0.84</v>
      </c>
      <c r="N198" s="5">
        <f t="shared" si="33"/>
        <v>0.83</v>
      </c>
      <c r="O198" s="5">
        <f t="shared" si="33"/>
        <v>0.82</v>
      </c>
      <c r="P198" s="5">
        <f t="shared" si="33"/>
        <v>0.81</v>
      </c>
      <c r="Q198" s="5">
        <f t="shared" si="33"/>
        <v>0.78</v>
      </c>
      <c r="R198" s="5">
        <f t="shared" si="33"/>
        <v>0.74</v>
      </c>
      <c r="S198" s="5">
        <f t="shared" si="32"/>
        <v>0.73</v>
      </c>
      <c r="T198" s="5">
        <f t="shared" si="32"/>
        <v>0.7</v>
      </c>
      <c r="U198" s="5">
        <f t="shared" si="32"/>
        <v>0.68</v>
      </c>
      <c r="V198" s="5">
        <f t="shared" si="32"/>
        <v>0.68</v>
      </c>
      <c r="W198" s="5">
        <f t="shared" si="32"/>
        <v>0.67</v>
      </c>
      <c r="X198" s="5">
        <f t="shared" si="32"/>
        <v>0.67</v>
      </c>
      <c r="Y198" s="5">
        <f t="shared" si="32"/>
        <v>0.66</v>
      </c>
      <c r="Z198" s="5">
        <f t="shared" si="32"/>
        <v>0.67</v>
      </c>
      <c r="AA198" s="5">
        <f t="shared" si="32"/>
        <v>0.66</v>
      </c>
      <c r="AB198" s="5">
        <f t="shared" si="32"/>
        <v>0.66</v>
      </c>
      <c r="AC198" s="5">
        <f t="shared" si="32"/>
        <v>0.66</v>
      </c>
      <c r="AD198" s="5">
        <f t="shared" si="32"/>
        <v>0.66</v>
      </c>
      <c r="AE198" s="5">
        <f t="shared" si="32"/>
        <v>0.66</v>
      </c>
      <c r="AF198" s="5">
        <f t="shared" si="32"/>
        <v>0.66</v>
      </c>
      <c r="AG198" s="5">
        <f t="shared" si="32"/>
        <v>0.66</v>
      </c>
      <c r="AH198" s="5">
        <f t="shared" si="27"/>
        <v>0.66</v>
      </c>
      <c r="AI198" s="5">
        <f t="shared" si="27"/>
        <v>0.66</v>
      </c>
      <c r="AJ198" s="5">
        <f t="shared" si="27"/>
        <v>0.66</v>
      </c>
    </row>
    <row r="199" spans="1:36">
      <c r="A199" t="str">
        <f>"electricity_archetype_"&amp;TEXT(ROUND(Table2[[#This Row],[2016]],1),"0.0")</f>
        <v>electricity_archetype_0.8</v>
      </c>
      <c r="B199" s="5">
        <f t="shared" si="24"/>
        <v>0.8</v>
      </c>
      <c r="C199" s="5">
        <f t="shared" si="33"/>
        <v>0.8</v>
      </c>
      <c r="D199" s="5">
        <f t="shared" si="33"/>
        <v>0.8</v>
      </c>
      <c r="E199" s="5">
        <f t="shared" si="33"/>
        <v>0.8</v>
      </c>
      <c r="F199" s="5">
        <f t="shared" si="33"/>
        <v>0.79</v>
      </c>
      <c r="G199" s="5">
        <f t="shared" si="33"/>
        <v>0.79</v>
      </c>
      <c r="H199" s="5">
        <f t="shared" si="33"/>
        <v>0.78</v>
      </c>
      <c r="I199" s="5">
        <f t="shared" si="33"/>
        <v>0.78</v>
      </c>
      <c r="J199" s="5">
        <f t="shared" si="33"/>
        <v>0.77</v>
      </c>
      <c r="K199" s="5">
        <f t="shared" si="33"/>
        <v>0.77</v>
      </c>
      <c r="L199" s="5">
        <f t="shared" si="33"/>
        <v>0.76</v>
      </c>
      <c r="M199" s="5">
        <f t="shared" si="33"/>
        <v>0.76</v>
      </c>
      <c r="N199" s="5">
        <f t="shared" si="33"/>
        <v>0.76</v>
      </c>
      <c r="O199" s="5">
        <f t="shared" si="33"/>
        <v>0.75</v>
      </c>
      <c r="P199" s="5">
        <f t="shared" si="33"/>
        <v>0.75</v>
      </c>
      <c r="Q199" s="5">
        <f t="shared" si="33"/>
        <v>0.73</v>
      </c>
      <c r="R199" s="5">
        <f t="shared" si="33"/>
        <v>0.71</v>
      </c>
      <c r="S199" s="5">
        <f t="shared" si="32"/>
        <v>0.7</v>
      </c>
      <c r="T199" s="5">
        <f t="shared" si="32"/>
        <v>0.68</v>
      </c>
      <c r="U199" s="5">
        <f t="shared" si="32"/>
        <v>0.67</v>
      </c>
      <c r="V199" s="5">
        <f t="shared" si="32"/>
        <v>0.67</v>
      </c>
      <c r="W199" s="5">
        <f t="shared" si="32"/>
        <v>0.67</v>
      </c>
      <c r="X199" s="5">
        <f t="shared" si="32"/>
        <v>0.66</v>
      </c>
      <c r="Y199" s="5">
        <f t="shared" si="32"/>
        <v>0.66</v>
      </c>
      <c r="Z199" s="5">
        <f t="shared" si="32"/>
        <v>0.66</v>
      </c>
      <c r="AA199" s="5">
        <f t="shared" si="32"/>
        <v>0.66</v>
      </c>
      <c r="AB199" s="5">
        <f t="shared" si="32"/>
        <v>0.66</v>
      </c>
      <c r="AC199" s="5">
        <f t="shared" si="32"/>
        <v>0.66</v>
      </c>
      <c r="AD199" s="5">
        <f t="shared" si="32"/>
        <v>0.66</v>
      </c>
      <c r="AE199" s="5">
        <f t="shared" si="32"/>
        <v>0.66</v>
      </c>
      <c r="AF199" s="5">
        <f t="shared" si="32"/>
        <v>0.66</v>
      </c>
      <c r="AG199" s="5">
        <f t="shared" si="32"/>
        <v>0.66</v>
      </c>
      <c r="AH199" s="5">
        <f t="shared" si="27"/>
        <v>0.66</v>
      </c>
      <c r="AI199" s="5">
        <f t="shared" si="27"/>
        <v>0.66</v>
      </c>
      <c r="AJ199" s="5">
        <f t="shared" si="27"/>
        <v>0.66</v>
      </c>
    </row>
    <row r="200" spans="1:36">
      <c r="A200" t="str">
        <f>"electricity_archetype_"&amp;TEXT(ROUND(Table2[[#This Row],[2016]],1),"0.0")</f>
        <v>electricity_archetype_0.7</v>
      </c>
      <c r="B200" s="5">
        <f t="shared" si="24"/>
        <v>0.7</v>
      </c>
      <c r="C200" s="5">
        <f t="shared" si="33"/>
        <v>0.7</v>
      </c>
      <c r="D200" s="5">
        <f t="shared" si="33"/>
        <v>0.7</v>
      </c>
      <c r="E200" s="5">
        <f t="shared" si="33"/>
        <v>0.7</v>
      </c>
      <c r="F200" s="5">
        <f t="shared" si="33"/>
        <v>0.7</v>
      </c>
      <c r="G200" s="5">
        <f t="shared" si="33"/>
        <v>0.7</v>
      </c>
      <c r="H200" s="5">
        <f t="shared" si="33"/>
        <v>0.7</v>
      </c>
      <c r="I200" s="5">
        <f t="shared" si="33"/>
        <v>0.69</v>
      </c>
      <c r="J200" s="5">
        <f t="shared" si="33"/>
        <v>0.69</v>
      </c>
      <c r="K200" s="5">
        <f t="shared" si="33"/>
        <v>0.69</v>
      </c>
      <c r="L200" s="5">
        <f t="shared" si="33"/>
        <v>0.69</v>
      </c>
      <c r="M200" s="5">
        <f t="shared" si="33"/>
        <v>0.69</v>
      </c>
      <c r="N200" s="5">
        <f t="shared" si="33"/>
        <v>0.69</v>
      </c>
      <c r="O200" s="5">
        <f t="shared" si="33"/>
        <v>0.69</v>
      </c>
      <c r="P200" s="5">
        <f t="shared" si="33"/>
        <v>0.68</v>
      </c>
      <c r="Q200" s="5">
        <f t="shared" si="33"/>
        <v>0.68</v>
      </c>
      <c r="R200" s="5">
        <f t="shared" si="33"/>
        <v>0.67</v>
      </c>
      <c r="S200" s="5">
        <f t="shared" si="32"/>
        <v>0.67</v>
      </c>
      <c r="T200" s="5">
        <f t="shared" si="32"/>
        <v>0.66</v>
      </c>
      <c r="U200" s="5">
        <f t="shared" si="32"/>
        <v>0.66</v>
      </c>
      <c r="V200" s="5">
        <f t="shared" si="32"/>
        <v>0.66</v>
      </c>
      <c r="W200" s="5">
        <f t="shared" si="32"/>
        <v>0.66</v>
      </c>
      <c r="X200" s="5">
        <f t="shared" si="32"/>
        <v>0.66</v>
      </c>
      <c r="Y200" s="5">
        <f t="shared" si="32"/>
        <v>0.66</v>
      </c>
      <c r="Z200" s="5">
        <f t="shared" si="32"/>
        <v>0.66</v>
      </c>
      <c r="AA200" s="5">
        <f t="shared" si="32"/>
        <v>0.66</v>
      </c>
      <c r="AB200" s="5">
        <f t="shared" si="32"/>
        <v>0.66</v>
      </c>
      <c r="AC200" s="5">
        <f t="shared" si="32"/>
        <v>0.66</v>
      </c>
      <c r="AD200" s="5">
        <f t="shared" si="32"/>
        <v>0.66</v>
      </c>
      <c r="AE200" s="5">
        <f t="shared" si="32"/>
        <v>0.66</v>
      </c>
      <c r="AF200" s="5">
        <f t="shared" si="32"/>
        <v>0.66</v>
      </c>
      <c r="AG200" s="5">
        <f t="shared" si="32"/>
        <v>0.66</v>
      </c>
      <c r="AH200" s="5">
        <f t="shared" si="27"/>
        <v>0.66</v>
      </c>
      <c r="AI200" s="5">
        <f t="shared" si="27"/>
        <v>0.66</v>
      </c>
      <c r="AJ200" s="5">
        <f t="shared" si="27"/>
        <v>0.66</v>
      </c>
    </row>
    <row r="201" spans="1:36">
      <c r="A201" t="s">
        <v>209</v>
      </c>
      <c r="B201" s="5">
        <v>0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</row>
    <row r="203" spans="1:36">
      <c r="A203" t="s">
        <v>210</v>
      </c>
      <c r="B203" t="s">
        <v>171</v>
      </c>
      <c r="C203" t="s">
        <v>172</v>
      </c>
      <c r="D203" t="s">
        <v>173</v>
      </c>
      <c r="E203" t="s">
        <v>174</v>
      </c>
      <c r="F203" t="s">
        <v>175</v>
      </c>
      <c r="G203" t="s">
        <v>176</v>
      </c>
      <c r="H203" t="s">
        <v>177</v>
      </c>
      <c r="I203" t="s">
        <v>54</v>
      </c>
      <c r="J203" t="s">
        <v>178</v>
      </c>
      <c r="K203" t="s">
        <v>179</v>
      </c>
      <c r="L203" t="s">
        <v>180</v>
      </c>
      <c r="M203" t="s">
        <v>181</v>
      </c>
      <c r="N203" t="s">
        <v>182</v>
      </c>
      <c r="O203" t="s">
        <v>183</v>
      </c>
      <c r="P203" t="s">
        <v>184</v>
      </c>
      <c r="Q203" t="s">
        <v>185</v>
      </c>
      <c r="R203" t="s">
        <v>186</v>
      </c>
      <c r="S203" t="s">
        <v>187</v>
      </c>
      <c r="T203" t="s">
        <v>188</v>
      </c>
      <c r="U203" t="s">
        <v>189</v>
      </c>
      <c r="V203" t="s">
        <v>190</v>
      </c>
      <c r="W203" t="s">
        <v>191</v>
      </c>
      <c r="X203" t="s">
        <v>192</v>
      </c>
      <c r="Y203" t="s">
        <v>193</v>
      </c>
      <c r="Z203" t="s">
        <v>194</v>
      </c>
      <c r="AA203" t="s">
        <v>195</v>
      </c>
      <c r="AB203" t="s">
        <v>196</v>
      </c>
      <c r="AC203" t="s">
        <v>197</v>
      </c>
      <c r="AD203" t="s">
        <v>198</v>
      </c>
      <c r="AE203" t="s">
        <v>199</v>
      </c>
      <c r="AF203" t="s">
        <v>200</v>
      </c>
      <c r="AG203" t="s">
        <v>201</v>
      </c>
      <c r="AH203" t="s">
        <v>202</v>
      </c>
      <c r="AI203" t="s">
        <v>203</v>
      </c>
      <c r="AJ203" t="s">
        <v>204</v>
      </c>
    </row>
    <row r="204" spans="1:36">
      <c r="A204" t="str">
        <f>"non-electricity_archetype_"&amp;TEXT(ROUND(Table3[[#This Row],[2016]],1),"0.0")</f>
        <v>non-electricity_archetype_10.0</v>
      </c>
      <c r="B204" s="5">
        <v>10</v>
      </c>
      <c r="C204" s="5">
        <f>(($B204-$AJ$3)*((C$3-$AJ$3)/($B$3-$AJ$3)))+$AJ$3</f>
        <v>10</v>
      </c>
      <c r="D204" s="5">
        <f t="shared" ref="D204:AJ211" si="34">(($B204-$AJ$3)*((D$3-$AJ$3)/($B$3-$AJ$3)))+$AJ$3</f>
        <v>10</v>
      </c>
      <c r="E204" s="5">
        <f t="shared" si="34"/>
        <v>10</v>
      </c>
      <c r="F204" s="5">
        <f t="shared" si="34"/>
        <v>10</v>
      </c>
      <c r="G204" s="5">
        <f t="shared" si="34"/>
        <v>9.77899983035125</v>
      </c>
      <c r="H204" s="5">
        <f t="shared" si="34"/>
        <v>9.89252258953525</v>
      </c>
      <c r="I204" s="5">
        <f t="shared" si="34"/>
        <v>9.86358874350342</v>
      </c>
      <c r="J204" s="5">
        <f t="shared" si="34"/>
        <v>9.80368809380215</v>
      </c>
      <c r="K204" s="5">
        <f t="shared" si="34"/>
        <v>9.76873325968523</v>
      </c>
      <c r="L204" s="5">
        <f t="shared" si="34"/>
        <v>9.11800833584417</v>
      </c>
      <c r="M204" s="5">
        <f t="shared" si="34"/>
        <v>9.03371042281061</v>
      </c>
      <c r="N204" s="5">
        <f t="shared" si="34"/>
        <v>8.97285818945784</v>
      </c>
      <c r="O204" s="5">
        <f t="shared" si="34"/>
        <v>8.88364016497376</v>
      </c>
      <c r="P204" s="5">
        <f t="shared" si="34"/>
        <v>8.49822319800674</v>
      </c>
      <c r="Q204" s="5">
        <f t="shared" si="34"/>
        <v>7.90541316160012</v>
      </c>
      <c r="R204" s="5">
        <f t="shared" si="34"/>
        <v>6.85414948486116</v>
      </c>
      <c r="S204" s="5">
        <f t="shared" si="34"/>
        <v>6.36304188675979</v>
      </c>
      <c r="T204" s="5">
        <f t="shared" si="34"/>
        <v>5.80461080468261</v>
      </c>
      <c r="U204" s="5">
        <f t="shared" si="34"/>
        <v>4.41234457249621</v>
      </c>
      <c r="V204" s="5">
        <f t="shared" si="34"/>
        <v>4.25821485412146</v>
      </c>
      <c r="W204" s="5">
        <f t="shared" si="34"/>
        <v>3.32264176980301</v>
      </c>
      <c r="X204" s="5">
        <f t="shared" si="34"/>
        <v>2.9571397953297</v>
      </c>
      <c r="Y204" s="5">
        <f t="shared" si="34"/>
        <v>2.54860506021295</v>
      </c>
      <c r="Z204" s="5">
        <f t="shared" si="34"/>
        <v>2.35884283016883</v>
      </c>
      <c r="AA204" s="5">
        <f t="shared" si="34"/>
        <v>1.97261022855333</v>
      </c>
      <c r="AB204" s="5">
        <f t="shared" si="34"/>
        <v>1.35311509087296</v>
      </c>
      <c r="AC204" s="5">
        <f t="shared" si="34"/>
        <v>1.08326839024138</v>
      </c>
      <c r="AD204" s="5">
        <f t="shared" si="34"/>
        <v>1.03975345228987</v>
      </c>
      <c r="AE204" s="5">
        <f t="shared" si="34"/>
        <v>0.728400096511544</v>
      </c>
      <c r="AF204" s="5">
        <f t="shared" si="34"/>
        <v>0.714289712871856</v>
      </c>
      <c r="AG204" s="5">
        <f t="shared" si="34"/>
        <v>0.676218747406783</v>
      </c>
      <c r="AH204" s="5">
        <f t="shared" si="34"/>
        <v>0.429178660714511</v>
      </c>
      <c r="AI204" s="5">
        <f t="shared" si="34"/>
        <v>0.306329849681554</v>
      </c>
      <c r="AJ204" s="5">
        <f t="shared" si="34"/>
        <v>0.267636408002995</v>
      </c>
    </row>
    <row r="205" spans="1:36">
      <c r="A205" t="str">
        <f>"non-electricity_archetype_"&amp;TEXT(ROUND(Table3[[#This Row],[2016]],1),"0.0")</f>
        <v>non-electricity_archetype_9.9</v>
      </c>
      <c r="B205" s="5">
        <f>MROUND(B204-0.1,0.1)</f>
        <v>9.9</v>
      </c>
      <c r="C205" s="5">
        <f t="shared" ref="C205:R227" si="35">(($B205-$AJ$3)*((C$3-$AJ$3)/($B$3-$AJ$3)))+$AJ$3</f>
        <v>9.9</v>
      </c>
      <c r="D205" s="5">
        <f t="shared" si="34"/>
        <v>9.9</v>
      </c>
      <c r="E205" s="5">
        <f t="shared" si="34"/>
        <v>9.9</v>
      </c>
      <c r="F205" s="5">
        <f t="shared" si="34"/>
        <v>9.9</v>
      </c>
      <c r="G205" s="5">
        <f t="shared" si="34"/>
        <v>9.68127060627901</v>
      </c>
      <c r="H205" s="5">
        <f t="shared" si="34"/>
        <v>9.79362691953123</v>
      </c>
      <c r="I205" s="5">
        <f t="shared" si="34"/>
        <v>9.76499036866063</v>
      </c>
      <c r="J205" s="5">
        <f t="shared" si="34"/>
        <v>9.70570519791404</v>
      </c>
      <c r="K205" s="5">
        <f t="shared" si="34"/>
        <v>9.6711095245887</v>
      </c>
      <c r="L205" s="5">
        <f t="shared" si="34"/>
        <v>9.02707079693924</v>
      </c>
      <c r="M205" s="5">
        <f t="shared" si="34"/>
        <v>8.94363904465108</v>
      </c>
      <c r="N205" s="5">
        <f t="shared" si="34"/>
        <v>8.8834120677715</v>
      </c>
      <c r="O205" s="5">
        <f t="shared" si="34"/>
        <v>8.79511075815982</v>
      </c>
      <c r="P205" s="5">
        <f t="shared" si="34"/>
        <v>8.41365394910638</v>
      </c>
      <c r="Q205" s="5">
        <f t="shared" si="34"/>
        <v>7.82693503363665</v>
      </c>
      <c r="R205" s="5">
        <f t="shared" si="34"/>
        <v>6.78647308729752</v>
      </c>
      <c r="S205" s="5">
        <f t="shared" si="34"/>
        <v>6.30041161795469</v>
      </c>
      <c r="T205" s="5">
        <f t="shared" si="34"/>
        <v>5.74771841318552</v>
      </c>
      <c r="U205" s="5">
        <f t="shared" si="34"/>
        <v>4.36975771139803</v>
      </c>
      <c r="V205" s="5">
        <f t="shared" si="34"/>
        <v>4.21721167531092</v>
      </c>
      <c r="W205" s="5">
        <f t="shared" si="34"/>
        <v>3.29125160098202</v>
      </c>
      <c r="X205" s="5">
        <f t="shared" si="34"/>
        <v>2.9295051579479</v>
      </c>
      <c r="Y205" s="5">
        <f t="shared" si="34"/>
        <v>2.52516811572718</v>
      </c>
      <c r="Z205" s="5">
        <f t="shared" si="34"/>
        <v>2.33735569189663</v>
      </c>
      <c r="AA205" s="5">
        <f t="shared" si="34"/>
        <v>1.95509162883772</v>
      </c>
      <c r="AB205" s="5">
        <f t="shared" si="34"/>
        <v>1.34196180141137</v>
      </c>
      <c r="AC205" s="5">
        <f t="shared" si="34"/>
        <v>1.07488777463318</v>
      </c>
      <c r="AD205" s="5">
        <f t="shared" si="34"/>
        <v>1.03181995250856</v>
      </c>
      <c r="AE205" s="5">
        <f t="shared" si="34"/>
        <v>0.723665751312116</v>
      </c>
      <c r="AF205" s="5">
        <f t="shared" si="34"/>
        <v>0.709700351812266</v>
      </c>
      <c r="AG205" s="5">
        <f t="shared" si="34"/>
        <v>0.672020565376883</v>
      </c>
      <c r="AH205" s="5">
        <f t="shared" si="34"/>
        <v>0.427518814663913</v>
      </c>
      <c r="AI205" s="5">
        <f t="shared" si="34"/>
        <v>0.305932274711067</v>
      </c>
      <c r="AJ205" s="5">
        <f t="shared" si="34"/>
        <v>0.267636408002995</v>
      </c>
    </row>
    <row r="206" spans="1:36">
      <c r="A206" t="str">
        <f>"non-electricity_archetype_"&amp;TEXT(ROUND(Table3[[#This Row],[2016]],1),"0.0")</f>
        <v>non-electricity_archetype_9.8</v>
      </c>
      <c r="B206" s="5">
        <f t="shared" ref="B206:B269" si="36">MROUND(B205-0.1,0.1)</f>
        <v>9.8</v>
      </c>
      <c r="C206" s="5">
        <f t="shared" si="35"/>
        <v>9.8</v>
      </c>
      <c r="D206" s="5">
        <f t="shared" si="34"/>
        <v>9.8</v>
      </c>
      <c r="E206" s="5">
        <f t="shared" si="34"/>
        <v>9.8</v>
      </c>
      <c r="F206" s="5">
        <f t="shared" si="34"/>
        <v>9.8</v>
      </c>
      <c r="G206" s="5">
        <f t="shared" si="34"/>
        <v>9.58354138220676</v>
      </c>
      <c r="H206" s="5">
        <f t="shared" si="34"/>
        <v>9.69473124952722</v>
      </c>
      <c r="I206" s="5">
        <f t="shared" si="34"/>
        <v>9.66639199381784</v>
      </c>
      <c r="J206" s="5">
        <f t="shared" si="34"/>
        <v>9.60772230202592</v>
      </c>
      <c r="K206" s="5">
        <f t="shared" si="34"/>
        <v>9.57348578949217</v>
      </c>
      <c r="L206" s="5">
        <f t="shared" si="34"/>
        <v>8.93613325803431</v>
      </c>
      <c r="M206" s="5">
        <f t="shared" si="34"/>
        <v>8.85356766649156</v>
      </c>
      <c r="N206" s="5">
        <f t="shared" si="34"/>
        <v>8.79396594608516</v>
      </c>
      <c r="O206" s="5">
        <f t="shared" si="34"/>
        <v>8.70658135134589</v>
      </c>
      <c r="P206" s="5">
        <f t="shared" si="34"/>
        <v>8.32908470020603</v>
      </c>
      <c r="Q206" s="5">
        <f t="shared" si="34"/>
        <v>7.74845690567319</v>
      </c>
      <c r="R206" s="5">
        <f t="shared" si="34"/>
        <v>6.71879668973389</v>
      </c>
      <c r="S206" s="5">
        <f t="shared" si="34"/>
        <v>6.2377813491496</v>
      </c>
      <c r="T206" s="5">
        <f t="shared" si="34"/>
        <v>5.69082602168842</v>
      </c>
      <c r="U206" s="5">
        <f t="shared" si="34"/>
        <v>4.32717085029986</v>
      </c>
      <c r="V206" s="5">
        <f t="shared" si="34"/>
        <v>4.17620849650038</v>
      </c>
      <c r="W206" s="5">
        <f t="shared" si="34"/>
        <v>3.25986143216104</v>
      </c>
      <c r="X206" s="5">
        <f t="shared" si="34"/>
        <v>2.9018705205661</v>
      </c>
      <c r="Y206" s="5">
        <f t="shared" si="34"/>
        <v>2.5017311712414</v>
      </c>
      <c r="Z206" s="5">
        <f t="shared" si="34"/>
        <v>2.31586855362443</v>
      </c>
      <c r="AA206" s="5">
        <f t="shared" si="34"/>
        <v>1.9375730291221</v>
      </c>
      <c r="AB206" s="5">
        <f t="shared" si="34"/>
        <v>1.33080851194978</v>
      </c>
      <c r="AC206" s="5">
        <f t="shared" si="34"/>
        <v>1.06650715902497</v>
      </c>
      <c r="AD206" s="5">
        <f t="shared" si="34"/>
        <v>1.02388645272726</v>
      </c>
      <c r="AE206" s="5">
        <f t="shared" si="34"/>
        <v>0.718931406112689</v>
      </c>
      <c r="AF206" s="5">
        <f t="shared" si="34"/>
        <v>0.705110990752675</v>
      </c>
      <c r="AG206" s="5">
        <f t="shared" si="34"/>
        <v>0.667822383346982</v>
      </c>
      <c r="AH206" s="5">
        <f t="shared" si="34"/>
        <v>0.425858968613316</v>
      </c>
      <c r="AI206" s="5">
        <f t="shared" si="34"/>
        <v>0.30553469974058</v>
      </c>
      <c r="AJ206" s="5">
        <f t="shared" si="34"/>
        <v>0.267636408002995</v>
      </c>
    </row>
    <row r="207" spans="1:36">
      <c r="A207" t="str">
        <f>"non-electricity_archetype_"&amp;TEXT(ROUND(Table3[[#This Row],[2016]],1),"0.0")</f>
        <v>non-electricity_archetype_9.7</v>
      </c>
      <c r="B207" s="5">
        <f t="shared" si="36"/>
        <v>9.7</v>
      </c>
      <c r="C207" s="5">
        <f t="shared" si="35"/>
        <v>9.7</v>
      </c>
      <c r="D207" s="5">
        <f t="shared" si="34"/>
        <v>9.7</v>
      </c>
      <c r="E207" s="5">
        <f t="shared" si="34"/>
        <v>9.7</v>
      </c>
      <c r="F207" s="5">
        <f t="shared" si="34"/>
        <v>9.7</v>
      </c>
      <c r="G207" s="5">
        <f t="shared" si="34"/>
        <v>9.48581215813452</v>
      </c>
      <c r="H207" s="5">
        <f t="shared" si="34"/>
        <v>9.5958355795232</v>
      </c>
      <c r="I207" s="5">
        <f t="shared" si="34"/>
        <v>9.56779361897505</v>
      </c>
      <c r="J207" s="5">
        <f t="shared" si="34"/>
        <v>9.50973940613781</v>
      </c>
      <c r="K207" s="5">
        <f t="shared" si="34"/>
        <v>9.47586205439564</v>
      </c>
      <c r="L207" s="5">
        <f t="shared" si="34"/>
        <v>8.84519571912939</v>
      </c>
      <c r="M207" s="5">
        <f t="shared" si="34"/>
        <v>8.76349628833203</v>
      </c>
      <c r="N207" s="5">
        <f t="shared" si="34"/>
        <v>8.70451982439882</v>
      </c>
      <c r="O207" s="5">
        <f t="shared" si="34"/>
        <v>8.61805194453195</v>
      </c>
      <c r="P207" s="5">
        <f t="shared" si="34"/>
        <v>8.24451545130567</v>
      </c>
      <c r="Q207" s="5">
        <f t="shared" si="34"/>
        <v>7.66997877770972</v>
      </c>
      <c r="R207" s="5">
        <f t="shared" si="34"/>
        <v>6.65112029217026</v>
      </c>
      <c r="S207" s="5">
        <f t="shared" si="34"/>
        <v>6.17515108034451</v>
      </c>
      <c r="T207" s="5">
        <f t="shared" si="34"/>
        <v>5.63393363019133</v>
      </c>
      <c r="U207" s="5">
        <f t="shared" si="34"/>
        <v>4.28458398920168</v>
      </c>
      <c r="V207" s="5">
        <f t="shared" si="34"/>
        <v>4.13520531768984</v>
      </c>
      <c r="W207" s="5">
        <f t="shared" si="34"/>
        <v>3.22847126334005</v>
      </c>
      <c r="X207" s="5">
        <f t="shared" si="34"/>
        <v>2.8742358831843</v>
      </c>
      <c r="Y207" s="5">
        <f t="shared" si="34"/>
        <v>2.47829422675563</v>
      </c>
      <c r="Z207" s="5">
        <f t="shared" si="34"/>
        <v>2.29438141535223</v>
      </c>
      <c r="AA207" s="5">
        <f t="shared" si="34"/>
        <v>1.92005442940648</v>
      </c>
      <c r="AB207" s="5">
        <f t="shared" si="34"/>
        <v>1.31965522248819</v>
      </c>
      <c r="AC207" s="5">
        <f t="shared" si="34"/>
        <v>1.05812654341676</v>
      </c>
      <c r="AD207" s="5">
        <f t="shared" si="34"/>
        <v>1.01595295294595</v>
      </c>
      <c r="AE207" s="5">
        <f t="shared" si="34"/>
        <v>0.714197060913261</v>
      </c>
      <c r="AF207" s="5">
        <f t="shared" si="34"/>
        <v>0.700521629693085</v>
      </c>
      <c r="AG207" s="5">
        <f t="shared" si="34"/>
        <v>0.663624201317082</v>
      </c>
      <c r="AH207" s="5">
        <f t="shared" si="34"/>
        <v>0.424199122562719</v>
      </c>
      <c r="AI207" s="5">
        <f t="shared" si="34"/>
        <v>0.305137124770093</v>
      </c>
      <c r="AJ207" s="5">
        <f t="shared" si="34"/>
        <v>0.267636408002995</v>
      </c>
    </row>
    <row r="208" spans="1:36">
      <c r="A208" t="str">
        <f>"non-electricity_archetype_"&amp;TEXT(ROUND(Table3[[#This Row],[2016]],1),"0.0")</f>
        <v>non-electricity_archetype_9.6</v>
      </c>
      <c r="B208" s="5">
        <f t="shared" si="36"/>
        <v>9.6</v>
      </c>
      <c r="C208" s="5">
        <f t="shared" si="35"/>
        <v>9.6</v>
      </c>
      <c r="D208" s="5">
        <f t="shared" si="34"/>
        <v>9.6</v>
      </c>
      <c r="E208" s="5">
        <f t="shared" si="34"/>
        <v>9.6</v>
      </c>
      <c r="F208" s="5">
        <f t="shared" si="34"/>
        <v>9.6</v>
      </c>
      <c r="G208" s="5">
        <f t="shared" si="34"/>
        <v>9.38808293406228</v>
      </c>
      <c r="H208" s="5">
        <f t="shared" si="34"/>
        <v>9.49693990951919</v>
      </c>
      <c r="I208" s="5">
        <f t="shared" si="34"/>
        <v>9.46919524413226</v>
      </c>
      <c r="J208" s="5">
        <f t="shared" si="34"/>
        <v>9.41175651024969</v>
      </c>
      <c r="K208" s="5">
        <f t="shared" si="34"/>
        <v>9.37823831929911</v>
      </c>
      <c r="L208" s="5">
        <f t="shared" si="34"/>
        <v>8.75425818022446</v>
      </c>
      <c r="M208" s="5">
        <f t="shared" si="34"/>
        <v>8.67342491017251</v>
      </c>
      <c r="N208" s="5">
        <f t="shared" si="34"/>
        <v>8.61507370271248</v>
      </c>
      <c r="O208" s="5">
        <f t="shared" si="34"/>
        <v>8.52952253771801</v>
      </c>
      <c r="P208" s="5">
        <f t="shared" si="34"/>
        <v>8.15994620240531</v>
      </c>
      <c r="Q208" s="5">
        <f t="shared" si="34"/>
        <v>7.59150064974626</v>
      </c>
      <c r="R208" s="5">
        <f t="shared" si="34"/>
        <v>6.58344389460662</v>
      </c>
      <c r="S208" s="5">
        <f t="shared" si="34"/>
        <v>6.11252081153942</v>
      </c>
      <c r="T208" s="5">
        <f t="shared" si="34"/>
        <v>5.57704123869423</v>
      </c>
      <c r="U208" s="5">
        <f t="shared" si="34"/>
        <v>4.24199712810351</v>
      </c>
      <c r="V208" s="5">
        <f t="shared" si="34"/>
        <v>4.0942021388793</v>
      </c>
      <c r="W208" s="5">
        <f t="shared" si="34"/>
        <v>3.19708109451907</v>
      </c>
      <c r="X208" s="5">
        <f t="shared" si="34"/>
        <v>2.8466012458025</v>
      </c>
      <c r="Y208" s="5">
        <f t="shared" si="34"/>
        <v>2.45485728226986</v>
      </c>
      <c r="Z208" s="5">
        <f t="shared" si="34"/>
        <v>2.27289427708002</v>
      </c>
      <c r="AA208" s="5">
        <f t="shared" si="34"/>
        <v>1.90253582969087</v>
      </c>
      <c r="AB208" s="5">
        <f t="shared" si="34"/>
        <v>1.3085019330266</v>
      </c>
      <c r="AC208" s="5">
        <f t="shared" si="34"/>
        <v>1.04974592780856</v>
      </c>
      <c r="AD208" s="5">
        <f t="shared" si="34"/>
        <v>1.00801945316465</v>
      </c>
      <c r="AE208" s="5">
        <f t="shared" si="34"/>
        <v>0.709462715713834</v>
      </c>
      <c r="AF208" s="5">
        <f t="shared" si="34"/>
        <v>0.695932268633495</v>
      </c>
      <c r="AG208" s="5">
        <f t="shared" si="34"/>
        <v>0.659426019287181</v>
      </c>
      <c r="AH208" s="5">
        <f t="shared" si="34"/>
        <v>0.422539276512122</v>
      </c>
      <c r="AI208" s="5">
        <f t="shared" si="34"/>
        <v>0.304739549799606</v>
      </c>
      <c r="AJ208" s="5">
        <f t="shared" si="34"/>
        <v>0.267636408002995</v>
      </c>
    </row>
    <row r="209" spans="1:36">
      <c r="A209" t="str">
        <f>"non-electricity_archetype_"&amp;TEXT(ROUND(Table3[[#This Row],[2016]],1),"0.0")</f>
        <v>non-electricity_archetype_9.5</v>
      </c>
      <c r="B209" s="5">
        <f t="shared" si="36"/>
        <v>9.5</v>
      </c>
      <c r="C209" s="5">
        <f t="shared" si="35"/>
        <v>9.5</v>
      </c>
      <c r="D209" s="5">
        <f t="shared" si="34"/>
        <v>9.5</v>
      </c>
      <c r="E209" s="5">
        <f t="shared" si="34"/>
        <v>9.5</v>
      </c>
      <c r="F209" s="5">
        <f t="shared" si="34"/>
        <v>9.5</v>
      </c>
      <c r="G209" s="5">
        <f t="shared" si="34"/>
        <v>9.29035370999003</v>
      </c>
      <c r="H209" s="5">
        <f t="shared" si="34"/>
        <v>9.39804423951517</v>
      </c>
      <c r="I209" s="5">
        <f t="shared" si="34"/>
        <v>9.37059686928947</v>
      </c>
      <c r="J209" s="5">
        <f t="shared" si="34"/>
        <v>9.31377361436158</v>
      </c>
      <c r="K209" s="5">
        <f t="shared" si="34"/>
        <v>9.28061458420258</v>
      </c>
      <c r="L209" s="5">
        <f t="shared" si="34"/>
        <v>8.66332064131953</v>
      </c>
      <c r="M209" s="5">
        <f t="shared" si="34"/>
        <v>8.58335353201298</v>
      </c>
      <c r="N209" s="5">
        <f t="shared" si="34"/>
        <v>8.52562758102613</v>
      </c>
      <c r="O209" s="5">
        <f t="shared" si="34"/>
        <v>8.44099313090407</v>
      </c>
      <c r="P209" s="5">
        <f t="shared" si="34"/>
        <v>8.07537695350495</v>
      </c>
      <c r="Q209" s="5">
        <f t="shared" si="34"/>
        <v>7.51302252178279</v>
      </c>
      <c r="R209" s="5">
        <f t="shared" si="34"/>
        <v>6.51576749704299</v>
      </c>
      <c r="S209" s="5">
        <f t="shared" si="34"/>
        <v>6.04989054273432</v>
      </c>
      <c r="T209" s="5">
        <f t="shared" si="34"/>
        <v>5.52014884719714</v>
      </c>
      <c r="U209" s="5">
        <f t="shared" si="34"/>
        <v>4.19941026700533</v>
      </c>
      <c r="V209" s="5">
        <f t="shared" si="34"/>
        <v>4.05319896006876</v>
      </c>
      <c r="W209" s="5">
        <f t="shared" si="34"/>
        <v>3.16569092569808</v>
      </c>
      <c r="X209" s="5">
        <f t="shared" si="34"/>
        <v>2.8189666084207</v>
      </c>
      <c r="Y209" s="5">
        <f t="shared" si="34"/>
        <v>2.43142033778408</v>
      </c>
      <c r="Z209" s="5">
        <f t="shared" si="34"/>
        <v>2.25140713880782</v>
      </c>
      <c r="AA209" s="5">
        <f t="shared" si="34"/>
        <v>1.88501722997525</v>
      </c>
      <c r="AB209" s="5">
        <f t="shared" si="34"/>
        <v>1.29734864356501</v>
      </c>
      <c r="AC209" s="5">
        <f t="shared" si="34"/>
        <v>1.04136531220035</v>
      </c>
      <c r="AD209" s="5">
        <f t="shared" si="34"/>
        <v>1.00008595338334</v>
      </c>
      <c r="AE209" s="5">
        <f t="shared" si="34"/>
        <v>0.704728370514406</v>
      </c>
      <c r="AF209" s="5">
        <f t="shared" si="34"/>
        <v>0.691342907573904</v>
      </c>
      <c r="AG209" s="5">
        <f t="shared" si="34"/>
        <v>0.655227837257281</v>
      </c>
      <c r="AH209" s="5">
        <f t="shared" si="34"/>
        <v>0.420879430461525</v>
      </c>
      <c r="AI209" s="5">
        <f t="shared" si="34"/>
        <v>0.304341974829119</v>
      </c>
      <c r="AJ209" s="5">
        <f t="shared" si="34"/>
        <v>0.267636408002995</v>
      </c>
    </row>
    <row r="210" spans="1:36">
      <c r="A210" t="str">
        <f>"non-electricity_archetype_"&amp;TEXT(ROUND(Table3[[#This Row],[2016]],1),"0.0")</f>
        <v>non-electricity_archetype_9.4</v>
      </c>
      <c r="B210" s="5">
        <f t="shared" si="36"/>
        <v>9.4</v>
      </c>
      <c r="C210" s="5">
        <f t="shared" si="35"/>
        <v>9.4</v>
      </c>
      <c r="D210" s="5">
        <f t="shared" si="34"/>
        <v>9.4</v>
      </c>
      <c r="E210" s="5">
        <f t="shared" si="34"/>
        <v>9.4</v>
      </c>
      <c r="F210" s="5">
        <f t="shared" si="34"/>
        <v>9.4</v>
      </c>
      <c r="G210" s="5">
        <f t="shared" si="34"/>
        <v>9.19262448591779</v>
      </c>
      <c r="H210" s="5">
        <f t="shared" si="34"/>
        <v>9.29914856951116</v>
      </c>
      <c r="I210" s="5">
        <f t="shared" si="34"/>
        <v>9.27199849444668</v>
      </c>
      <c r="J210" s="5">
        <f t="shared" si="34"/>
        <v>9.21579071847346</v>
      </c>
      <c r="K210" s="5">
        <f t="shared" si="34"/>
        <v>9.18299084910605</v>
      </c>
      <c r="L210" s="5">
        <f t="shared" si="34"/>
        <v>8.57238310241461</v>
      </c>
      <c r="M210" s="5">
        <f t="shared" si="34"/>
        <v>8.49328215385346</v>
      </c>
      <c r="N210" s="5">
        <f t="shared" si="34"/>
        <v>8.43618145933979</v>
      </c>
      <c r="O210" s="5">
        <f t="shared" si="34"/>
        <v>8.35246372409013</v>
      </c>
      <c r="P210" s="5">
        <f t="shared" si="34"/>
        <v>7.9908077046046</v>
      </c>
      <c r="Q210" s="5">
        <f t="shared" si="34"/>
        <v>7.43454439381933</v>
      </c>
      <c r="R210" s="5">
        <f t="shared" si="34"/>
        <v>6.44809109947936</v>
      </c>
      <c r="S210" s="5">
        <f t="shared" si="34"/>
        <v>5.98726027392923</v>
      </c>
      <c r="T210" s="5">
        <f t="shared" si="34"/>
        <v>5.46325645570004</v>
      </c>
      <c r="U210" s="5">
        <f t="shared" si="34"/>
        <v>4.15682340590715</v>
      </c>
      <c r="V210" s="5">
        <f t="shared" si="34"/>
        <v>4.01219578125822</v>
      </c>
      <c r="W210" s="5">
        <f t="shared" si="34"/>
        <v>3.1343007568771</v>
      </c>
      <c r="X210" s="5">
        <f t="shared" si="34"/>
        <v>2.7913319710389</v>
      </c>
      <c r="Y210" s="5">
        <f t="shared" si="34"/>
        <v>2.40798339329831</v>
      </c>
      <c r="Z210" s="5">
        <f t="shared" si="34"/>
        <v>2.22992000053562</v>
      </c>
      <c r="AA210" s="5">
        <f t="shared" si="34"/>
        <v>1.86749863025964</v>
      </c>
      <c r="AB210" s="5">
        <f t="shared" si="34"/>
        <v>1.28619535410342</v>
      </c>
      <c r="AC210" s="5">
        <f t="shared" si="34"/>
        <v>1.03298469659214</v>
      </c>
      <c r="AD210" s="5">
        <f t="shared" si="34"/>
        <v>0.992152453602039</v>
      </c>
      <c r="AE210" s="5">
        <f t="shared" si="34"/>
        <v>0.699994025314978</v>
      </c>
      <c r="AF210" s="5">
        <f t="shared" si="34"/>
        <v>0.686753546514314</v>
      </c>
      <c r="AG210" s="5">
        <f t="shared" si="34"/>
        <v>0.651029655227381</v>
      </c>
      <c r="AH210" s="5">
        <f t="shared" si="34"/>
        <v>0.419219584410928</v>
      </c>
      <c r="AI210" s="5">
        <f t="shared" si="34"/>
        <v>0.303944399858632</v>
      </c>
      <c r="AJ210" s="5">
        <f t="shared" si="34"/>
        <v>0.267636408002995</v>
      </c>
    </row>
    <row r="211" spans="1:36">
      <c r="A211" t="str">
        <f>"non-electricity_archetype_"&amp;TEXT(ROUND(Table3[[#This Row],[2016]],1),"0.0")</f>
        <v>non-electricity_archetype_9.3</v>
      </c>
      <c r="B211" s="5">
        <f t="shared" si="36"/>
        <v>9.3</v>
      </c>
      <c r="C211" s="5">
        <f t="shared" si="35"/>
        <v>9.3</v>
      </c>
      <c r="D211" s="5">
        <f t="shared" si="34"/>
        <v>9.3</v>
      </c>
      <c r="E211" s="5">
        <f t="shared" si="34"/>
        <v>9.3</v>
      </c>
      <c r="F211" s="5">
        <f t="shared" si="34"/>
        <v>9.3</v>
      </c>
      <c r="G211" s="5">
        <f t="shared" si="34"/>
        <v>9.09489526184554</v>
      </c>
      <c r="H211" s="5">
        <f t="shared" si="34"/>
        <v>9.20025289950714</v>
      </c>
      <c r="I211" s="5">
        <f t="shared" si="34"/>
        <v>9.17340011960389</v>
      </c>
      <c r="J211" s="5">
        <f t="shared" si="34"/>
        <v>9.11780782258535</v>
      </c>
      <c r="K211" s="5">
        <f t="shared" si="34"/>
        <v>9.08536711400952</v>
      </c>
      <c r="L211" s="5">
        <f t="shared" si="34"/>
        <v>8.48144556350968</v>
      </c>
      <c r="M211" s="5">
        <f t="shared" si="34"/>
        <v>8.40321077569393</v>
      </c>
      <c r="N211" s="5">
        <f t="shared" si="34"/>
        <v>8.34673533765345</v>
      </c>
      <c r="O211" s="5">
        <f t="shared" si="34"/>
        <v>8.26393431727619</v>
      </c>
      <c r="P211" s="5">
        <f t="shared" si="34"/>
        <v>7.90623845570424</v>
      </c>
      <c r="Q211" s="5">
        <f t="shared" si="34"/>
        <v>7.35606626585586</v>
      </c>
      <c r="R211" s="5">
        <f t="shared" si="34"/>
        <v>6.38041470191572</v>
      </c>
      <c r="S211" s="5">
        <f t="shared" si="34"/>
        <v>5.92463000512413</v>
      </c>
      <c r="T211" s="5">
        <f t="shared" si="34"/>
        <v>5.40636406420295</v>
      </c>
      <c r="U211" s="5">
        <f t="shared" si="34"/>
        <v>4.11423654480898</v>
      </c>
      <c r="V211" s="5">
        <f t="shared" si="34"/>
        <v>3.97119260244768</v>
      </c>
      <c r="W211" s="5">
        <f t="shared" si="34"/>
        <v>3.10291058805611</v>
      </c>
      <c r="X211" s="5">
        <f t="shared" si="34"/>
        <v>2.7636973336571</v>
      </c>
      <c r="Y211" s="5">
        <f t="shared" si="34"/>
        <v>2.38454644881254</v>
      </c>
      <c r="Z211" s="5">
        <f t="shared" si="34"/>
        <v>2.20843286226342</v>
      </c>
      <c r="AA211" s="5">
        <f t="shared" si="34"/>
        <v>1.84998003054402</v>
      </c>
      <c r="AB211" s="5">
        <f t="shared" ref="AB211:AJ227" si="37">(($B211-$AJ$3)*((AB$3-$AJ$3)/($B$3-$AJ$3)))+$AJ$3</f>
        <v>1.27504206464182</v>
      </c>
      <c r="AC211" s="5">
        <f t="shared" si="37"/>
        <v>1.02460408098393</v>
      </c>
      <c r="AD211" s="5">
        <f t="shared" si="37"/>
        <v>0.984218953820734</v>
      </c>
      <c r="AE211" s="5">
        <f t="shared" si="37"/>
        <v>0.695259680115551</v>
      </c>
      <c r="AF211" s="5">
        <f t="shared" si="37"/>
        <v>0.682164185454724</v>
      </c>
      <c r="AG211" s="5">
        <f t="shared" si="37"/>
        <v>0.64683147319748</v>
      </c>
      <c r="AH211" s="5">
        <f t="shared" si="37"/>
        <v>0.417559738360331</v>
      </c>
      <c r="AI211" s="5">
        <f t="shared" si="37"/>
        <v>0.303546824888145</v>
      </c>
      <c r="AJ211" s="5">
        <f t="shared" si="37"/>
        <v>0.267636408002995</v>
      </c>
    </row>
    <row r="212" spans="1:36">
      <c r="A212" t="str">
        <f>"non-electricity_archetype_"&amp;TEXT(ROUND(Table3[[#This Row],[2016]],1),"0.0")</f>
        <v>non-electricity_archetype_9.2</v>
      </c>
      <c r="B212" s="5">
        <f t="shared" si="36"/>
        <v>9.2</v>
      </c>
      <c r="C212" s="5">
        <f t="shared" si="35"/>
        <v>9.2</v>
      </c>
      <c r="D212" s="5">
        <f t="shared" si="35"/>
        <v>9.2</v>
      </c>
      <c r="E212" s="5">
        <f t="shared" si="35"/>
        <v>9.2</v>
      </c>
      <c r="F212" s="5">
        <f t="shared" si="35"/>
        <v>9.2</v>
      </c>
      <c r="G212" s="5">
        <f t="shared" si="35"/>
        <v>8.9971660377733</v>
      </c>
      <c r="H212" s="5">
        <f t="shared" si="35"/>
        <v>9.10135722950313</v>
      </c>
      <c r="I212" s="5">
        <f t="shared" si="35"/>
        <v>9.0748017447611</v>
      </c>
      <c r="J212" s="5">
        <f t="shared" si="35"/>
        <v>9.01982492669724</v>
      </c>
      <c r="K212" s="5">
        <f t="shared" si="35"/>
        <v>8.98774337891299</v>
      </c>
      <c r="L212" s="5">
        <f t="shared" si="35"/>
        <v>8.39050802460476</v>
      </c>
      <c r="M212" s="5">
        <f t="shared" si="35"/>
        <v>8.3131393975344</v>
      </c>
      <c r="N212" s="5">
        <f t="shared" si="35"/>
        <v>8.25728921596711</v>
      </c>
      <c r="O212" s="5">
        <f t="shared" si="35"/>
        <v>8.17540491046225</v>
      </c>
      <c r="P212" s="5">
        <f t="shared" si="35"/>
        <v>7.82166920680388</v>
      </c>
      <c r="Q212" s="5">
        <f t="shared" si="35"/>
        <v>7.2775881378924</v>
      </c>
      <c r="R212" s="5">
        <f t="shared" si="35"/>
        <v>6.31273830435209</v>
      </c>
      <c r="S212" s="5">
        <f t="shared" ref="S212:AH228" si="38">(($B212-$AJ$3)*((S$3-$AJ$3)/($B$3-$AJ$3)))+$AJ$3</f>
        <v>5.86199973631904</v>
      </c>
      <c r="T212" s="5">
        <f t="shared" si="38"/>
        <v>5.34947167270585</v>
      </c>
      <c r="U212" s="5">
        <f t="shared" si="38"/>
        <v>4.0716496837108</v>
      </c>
      <c r="V212" s="5">
        <f t="shared" si="38"/>
        <v>3.93018942363714</v>
      </c>
      <c r="W212" s="5">
        <f t="shared" si="38"/>
        <v>3.07152041923512</v>
      </c>
      <c r="X212" s="5">
        <f t="shared" si="38"/>
        <v>2.7360626962753</v>
      </c>
      <c r="Y212" s="5">
        <f t="shared" si="38"/>
        <v>2.36110950432676</v>
      </c>
      <c r="Z212" s="5">
        <f t="shared" si="38"/>
        <v>2.18694572399122</v>
      </c>
      <c r="AA212" s="5">
        <f t="shared" si="38"/>
        <v>1.8324614308284</v>
      </c>
      <c r="AB212" s="5">
        <f t="shared" si="38"/>
        <v>1.26388877518023</v>
      </c>
      <c r="AC212" s="5">
        <f t="shared" si="38"/>
        <v>1.01622346537573</v>
      </c>
      <c r="AD212" s="5">
        <f t="shared" si="38"/>
        <v>0.976285454039429</v>
      </c>
      <c r="AE212" s="5">
        <f t="shared" si="38"/>
        <v>0.690525334916123</v>
      </c>
      <c r="AF212" s="5">
        <f t="shared" si="38"/>
        <v>0.677574824395133</v>
      </c>
      <c r="AG212" s="5">
        <f t="shared" si="38"/>
        <v>0.64263329116758</v>
      </c>
      <c r="AH212" s="5">
        <f t="shared" si="38"/>
        <v>0.415899892309733</v>
      </c>
      <c r="AI212" s="5">
        <f t="shared" si="37"/>
        <v>0.303149249917659</v>
      </c>
      <c r="AJ212" s="5">
        <f t="shared" si="37"/>
        <v>0.267636408002995</v>
      </c>
    </row>
    <row r="213" spans="1:36">
      <c r="A213" t="str">
        <f>"non-electricity_archetype_"&amp;TEXT(ROUND(Table3[[#This Row],[2016]],1),"0.0")</f>
        <v>non-electricity_archetype_9.1</v>
      </c>
      <c r="B213" s="5">
        <f t="shared" si="36"/>
        <v>9.1</v>
      </c>
      <c r="C213" s="5">
        <f t="shared" si="35"/>
        <v>9.1</v>
      </c>
      <c r="D213" s="5">
        <f t="shared" si="35"/>
        <v>9.1</v>
      </c>
      <c r="E213" s="5">
        <f t="shared" si="35"/>
        <v>9.1</v>
      </c>
      <c r="F213" s="5">
        <f t="shared" si="35"/>
        <v>9.1</v>
      </c>
      <c r="G213" s="5">
        <f t="shared" si="35"/>
        <v>8.89943681370105</v>
      </c>
      <c r="H213" s="5">
        <f t="shared" si="35"/>
        <v>9.00246155949911</v>
      </c>
      <c r="I213" s="5">
        <f t="shared" si="35"/>
        <v>8.97620336991831</v>
      </c>
      <c r="J213" s="5">
        <f t="shared" si="35"/>
        <v>8.92184203080912</v>
      </c>
      <c r="K213" s="5">
        <f t="shared" si="35"/>
        <v>8.89011964381646</v>
      </c>
      <c r="L213" s="5">
        <f t="shared" si="35"/>
        <v>8.29957048569983</v>
      </c>
      <c r="M213" s="5">
        <f t="shared" si="35"/>
        <v>8.22306801937488</v>
      </c>
      <c r="N213" s="5">
        <f t="shared" si="35"/>
        <v>8.16784309428077</v>
      </c>
      <c r="O213" s="5">
        <f t="shared" si="35"/>
        <v>8.08687550364831</v>
      </c>
      <c r="P213" s="5">
        <f t="shared" si="35"/>
        <v>7.73709995790352</v>
      </c>
      <c r="Q213" s="5">
        <f t="shared" si="35"/>
        <v>7.19911000992893</v>
      </c>
      <c r="R213" s="5">
        <f t="shared" si="35"/>
        <v>6.24506190678846</v>
      </c>
      <c r="S213" s="5">
        <f t="shared" si="38"/>
        <v>5.79936946751395</v>
      </c>
      <c r="T213" s="5">
        <f t="shared" si="38"/>
        <v>5.29257928120876</v>
      </c>
      <c r="U213" s="5">
        <f t="shared" si="38"/>
        <v>4.02906282261263</v>
      </c>
      <c r="V213" s="5">
        <f t="shared" si="38"/>
        <v>3.8891862448266</v>
      </c>
      <c r="W213" s="5">
        <f t="shared" si="38"/>
        <v>3.04013025041414</v>
      </c>
      <c r="X213" s="5">
        <f t="shared" si="38"/>
        <v>2.7084280588935</v>
      </c>
      <c r="Y213" s="5">
        <f t="shared" si="38"/>
        <v>2.33767255984099</v>
      </c>
      <c r="Z213" s="5">
        <f t="shared" si="38"/>
        <v>2.16545858571901</v>
      </c>
      <c r="AA213" s="5">
        <f t="shared" si="38"/>
        <v>1.81494283111279</v>
      </c>
      <c r="AB213" s="5">
        <f t="shared" si="38"/>
        <v>1.25273548571864</v>
      </c>
      <c r="AC213" s="5">
        <f t="shared" si="38"/>
        <v>1.00784284976752</v>
      </c>
      <c r="AD213" s="5">
        <f t="shared" si="38"/>
        <v>0.968351954258124</v>
      </c>
      <c r="AE213" s="5">
        <f t="shared" si="38"/>
        <v>0.685790989716695</v>
      </c>
      <c r="AF213" s="5">
        <f t="shared" si="38"/>
        <v>0.672985463335543</v>
      </c>
      <c r="AG213" s="5">
        <f t="shared" si="38"/>
        <v>0.638435109137679</v>
      </c>
      <c r="AH213" s="5">
        <f t="shared" si="38"/>
        <v>0.414240046259136</v>
      </c>
      <c r="AI213" s="5">
        <f t="shared" si="37"/>
        <v>0.302751674947172</v>
      </c>
      <c r="AJ213" s="5">
        <f t="shared" si="37"/>
        <v>0.267636408002995</v>
      </c>
    </row>
    <row r="214" spans="1:36">
      <c r="A214" t="str">
        <f>"non-electricity_archetype_"&amp;TEXT(ROUND(Table3[[#This Row],[2016]],1),"0.0")</f>
        <v>non-electricity_archetype_9.0</v>
      </c>
      <c r="B214" s="5">
        <f t="shared" si="36"/>
        <v>9</v>
      </c>
      <c r="C214" s="5">
        <f t="shared" si="35"/>
        <v>9</v>
      </c>
      <c r="D214" s="5">
        <f t="shared" si="35"/>
        <v>9</v>
      </c>
      <c r="E214" s="5">
        <f t="shared" si="35"/>
        <v>9</v>
      </c>
      <c r="F214" s="5">
        <f t="shared" si="35"/>
        <v>9</v>
      </c>
      <c r="G214" s="5">
        <f t="shared" si="35"/>
        <v>8.80170758962881</v>
      </c>
      <c r="H214" s="5">
        <f t="shared" si="35"/>
        <v>8.9035658894951</v>
      </c>
      <c r="I214" s="5">
        <f t="shared" si="35"/>
        <v>8.87760499507552</v>
      </c>
      <c r="J214" s="5">
        <f t="shared" si="35"/>
        <v>8.82385913492101</v>
      </c>
      <c r="K214" s="5">
        <f t="shared" si="35"/>
        <v>8.79249590871993</v>
      </c>
      <c r="L214" s="5">
        <f t="shared" si="35"/>
        <v>8.2086329467949</v>
      </c>
      <c r="M214" s="5">
        <f t="shared" si="35"/>
        <v>8.13299664121535</v>
      </c>
      <c r="N214" s="5">
        <f t="shared" si="35"/>
        <v>8.07839697259443</v>
      </c>
      <c r="O214" s="5">
        <f t="shared" si="35"/>
        <v>7.99834609683437</v>
      </c>
      <c r="P214" s="5">
        <f t="shared" si="35"/>
        <v>7.65253070900317</v>
      </c>
      <c r="Q214" s="5">
        <f t="shared" si="35"/>
        <v>7.12063188196546</v>
      </c>
      <c r="R214" s="5">
        <f t="shared" si="35"/>
        <v>6.17738550922483</v>
      </c>
      <c r="S214" s="5">
        <f t="shared" si="38"/>
        <v>5.73673919870885</v>
      </c>
      <c r="T214" s="5">
        <f t="shared" si="38"/>
        <v>5.23568688971167</v>
      </c>
      <c r="U214" s="5">
        <f t="shared" si="38"/>
        <v>3.98647596151445</v>
      </c>
      <c r="V214" s="5">
        <f t="shared" si="38"/>
        <v>3.84818306601606</v>
      </c>
      <c r="W214" s="5">
        <f t="shared" si="38"/>
        <v>3.00874008159315</v>
      </c>
      <c r="X214" s="5">
        <f t="shared" si="38"/>
        <v>2.6807934215117</v>
      </c>
      <c r="Y214" s="5">
        <f t="shared" si="38"/>
        <v>2.31423561535522</v>
      </c>
      <c r="Z214" s="5">
        <f t="shared" si="38"/>
        <v>2.14397144744681</v>
      </c>
      <c r="AA214" s="5">
        <f t="shared" si="38"/>
        <v>1.79742423139717</v>
      </c>
      <c r="AB214" s="5">
        <f t="shared" si="38"/>
        <v>1.24158219625705</v>
      </c>
      <c r="AC214" s="5">
        <f t="shared" si="38"/>
        <v>0.999462234159311</v>
      </c>
      <c r="AD214" s="5">
        <f t="shared" si="38"/>
        <v>0.960418454476819</v>
      </c>
      <c r="AE214" s="5">
        <f t="shared" si="38"/>
        <v>0.681056644517268</v>
      </c>
      <c r="AF214" s="5">
        <f t="shared" si="38"/>
        <v>0.668396102275952</v>
      </c>
      <c r="AG214" s="5">
        <f t="shared" si="38"/>
        <v>0.634236927107779</v>
      </c>
      <c r="AH214" s="5">
        <f t="shared" si="38"/>
        <v>0.412580200208539</v>
      </c>
      <c r="AI214" s="5">
        <f t="shared" si="37"/>
        <v>0.302354099976685</v>
      </c>
      <c r="AJ214" s="5">
        <f t="shared" si="37"/>
        <v>0.267636408002995</v>
      </c>
    </row>
    <row r="215" spans="1:36">
      <c r="A215" t="str">
        <f>"non-electricity_archetype_"&amp;TEXT(ROUND(Table3[[#This Row],[2016]],1),"0.0")</f>
        <v>non-electricity_archetype_8.9</v>
      </c>
      <c r="B215" s="5">
        <f t="shared" si="36"/>
        <v>8.9</v>
      </c>
      <c r="C215" s="5">
        <f t="shared" si="35"/>
        <v>8.9</v>
      </c>
      <c r="D215" s="5">
        <f t="shared" si="35"/>
        <v>8.9</v>
      </c>
      <c r="E215" s="5">
        <f t="shared" si="35"/>
        <v>8.9</v>
      </c>
      <c r="F215" s="5">
        <f t="shared" si="35"/>
        <v>8.9</v>
      </c>
      <c r="G215" s="5">
        <f t="shared" si="35"/>
        <v>8.70397836555657</v>
      </c>
      <c r="H215" s="5">
        <f t="shared" si="35"/>
        <v>8.80467021949108</v>
      </c>
      <c r="I215" s="5">
        <f t="shared" si="35"/>
        <v>8.77900662023273</v>
      </c>
      <c r="J215" s="5">
        <f t="shared" si="35"/>
        <v>8.72587623903289</v>
      </c>
      <c r="K215" s="5">
        <f t="shared" si="35"/>
        <v>8.6948721736234</v>
      </c>
      <c r="L215" s="5">
        <f t="shared" si="35"/>
        <v>8.11769540788998</v>
      </c>
      <c r="M215" s="5">
        <f t="shared" si="35"/>
        <v>8.04292526305583</v>
      </c>
      <c r="N215" s="5">
        <f t="shared" si="35"/>
        <v>7.98895085090808</v>
      </c>
      <c r="O215" s="5">
        <f t="shared" si="35"/>
        <v>7.90981669002043</v>
      </c>
      <c r="P215" s="5">
        <f t="shared" si="35"/>
        <v>7.56796146010281</v>
      </c>
      <c r="Q215" s="5">
        <f t="shared" si="35"/>
        <v>7.042153754002</v>
      </c>
      <c r="R215" s="5">
        <f t="shared" si="35"/>
        <v>6.10970911166119</v>
      </c>
      <c r="S215" s="5">
        <f t="shared" si="38"/>
        <v>5.67410892990376</v>
      </c>
      <c r="T215" s="5">
        <f t="shared" si="38"/>
        <v>5.17879449821457</v>
      </c>
      <c r="U215" s="5">
        <f t="shared" si="38"/>
        <v>3.94388910041627</v>
      </c>
      <c r="V215" s="5">
        <f t="shared" si="38"/>
        <v>3.80717988720552</v>
      </c>
      <c r="W215" s="5">
        <f t="shared" si="38"/>
        <v>2.97734991277217</v>
      </c>
      <c r="X215" s="5">
        <f t="shared" si="38"/>
        <v>2.6531587841299</v>
      </c>
      <c r="Y215" s="5">
        <f t="shared" si="38"/>
        <v>2.29079867086944</v>
      </c>
      <c r="Z215" s="5">
        <f t="shared" si="38"/>
        <v>2.12248430917461</v>
      </c>
      <c r="AA215" s="5">
        <f t="shared" si="38"/>
        <v>1.77990563168155</v>
      </c>
      <c r="AB215" s="5">
        <f t="shared" si="38"/>
        <v>1.23042890679546</v>
      </c>
      <c r="AC215" s="5">
        <f t="shared" si="38"/>
        <v>0.991081618551104</v>
      </c>
      <c r="AD215" s="5">
        <f t="shared" si="38"/>
        <v>0.952484954695514</v>
      </c>
      <c r="AE215" s="5">
        <f t="shared" si="38"/>
        <v>0.67632229931784</v>
      </c>
      <c r="AF215" s="5">
        <f t="shared" si="38"/>
        <v>0.663806741216362</v>
      </c>
      <c r="AG215" s="5">
        <f t="shared" si="38"/>
        <v>0.630038745077878</v>
      </c>
      <c r="AH215" s="5">
        <f t="shared" si="38"/>
        <v>0.410920354157942</v>
      </c>
      <c r="AI215" s="5">
        <f t="shared" si="37"/>
        <v>0.301956525006198</v>
      </c>
      <c r="AJ215" s="5">
        <f t="shared" si="37"/>
        <v>0.267636408002995</v>
      </c>
    </row>
    <row r="216" spans="1:36">
      <c r="A216" t="str">
        <f>"non-electricity_archetype_"&amp;TEXT(ROUND(Table3[[#This Row],[2016]],1),"0.0")</f>
        <v>non-electricity_archetype_8.8</v>
      </c>
      <c r="B216" s="5">
        <f t="shared" si="36"/>
        <v>8.8</v>
      </c>
      <c r="C216" s="5">
        <f t="shared" si="35"/>
        <v>8.8</v>
      </c>
      <c r="D216" s="5">
        <f t="shared" si="35"/>
        <v>8.8</v>
      </c>
      <c r="E216" s="5">
        <f t="shared" si="35"/>
        <v>8.8</v>
      </c>
      <c r="F216" s="5">
        <f t="shared" si="35"/>
        <v>8.8</v>
      </c>
      <c r="G216" s="5">
        <f t="shared" si="35"/>
        <v>8.60624914148432</v>
      </c>
      <c r="H216" s="5">
        <f t="shared" si="35"/>
        <v>8.70577454948707</v>
      </c>
      <c r="I216" s="5">
        <f t="shared" si="35"/>
        <v>8.68040824538994</v>
      </c>
      <c r="J216" s="5">
        <f t="shared" si="35"/>
        <v>8.62789334314478</v>
      </c>
      <c r="K216" s="5">
        <f t="shared" si="35"/>
        <v>8.59724843852688</v>
      </c>
      <c r="L216" s="5">
        <f t="shared" si="35"/>
        <v>8.02675786898505</v>
      </c>
      <c r="M216" s="5">
        <f t="shared" si="35"/>
        <v>7.9528538848963</v>
      </c>
      <c r="N216" s="5">
        <f t="shared" si="35"/>
        <v>7.89950472922174</v>
      </c>
      <c r="O216" s="5">
        <f t="shared" si="35"/>
        <v>7.82128728320649</v>
      </c>
      <c r="P216" s="5">
        <f t="shared" si="35"/>
        <v>7.48339221120245</v>
      </c>
      <c r="Q216" s="5">
        <f t="shared" si="35"/>
        <v>6.96367562603853</v>
      </c>
      <c r="R216" s="5">
        <f t="shared" si="35"/>
        <v>6.04203271409756</v>
      </c>
      <c r="S216" s="5">
        <f t="shared" si="38"/>
        <v>5.61147866109867</v>
      </c>
      <c r="T216" s="5">
        <f t="shared" si="38"/>
        <v>5.12190210671748</v>
      </c>
      <c r="U216" s="5">
        <f t="shared" si="38"/>
        <v>3.9013022393181</v>
      </c>
      <c r="V216" s="5">
        <f t="shared" si="38"/>
        <v>3.76617670839498</v>
      </c>
      <c r="W216" s="5">
        <f t="shared" si="38"/>
        <v>2.94595974395118</v>
      </c>
      <c r="X216" s="5">
        <f t="shared" si="38"/>
        <v>2.6255241467481</v>
      </c>
      <c r="Y216" s="5">
        <f t="shared" si="38"/>
        <v>2.26736172638367</v>
      </c>
      <c r="Z216" s="5">
        <f t="shared" si="38"/>
        <v>2.10099717090241</v>
      </c>
      <c r="AA216" s="5">
        <f t="shared" si="38"/>
        <v>1.76238703196594</v>
      </c>
      <c r="AB216" s="5">
        <f t="shared" si="38"/>
        <v>1.21927561733387</v>
      </c>
      <c r="AC216" s="5">
        <f t="shared" si="38"/>
        <v>0.982701002942897</v>
      </c>
      <c r="AD216" s="5">
        <f t="shared" si="38"/>
        <v>0.94455145491421</v>
      </c>
      <c r="AE216" s="5">
        <f t="shared" si="38"/>
        <v>0.671587954118413</v>
      </c>
      <c r="AF216" s="5">
        <f t="shared" si="38"/>
        <v>0.659217380156772</v>
      </c>
      <c r="AG216" s="5">
        <f t="shared" si="38"/>
        <v>0.625840563047978</v>
      </c>
      <c r="AH216" s="5">
        <f t="shared" si="38"/>
        <v>0.409260508107345</v>
      </c>
      <c r="AI216" s="5">
        <f t="shared" si="37"/>
        <v>0.301558950035711</v>
      </c>
      <c r="AJ216" s="5">
        <f t="shared" si="37"/>
        <v>0.267636408002995</v>
      </c>
    </row>
    <row r="217" spans="1:36">
      <c r="A217" t="str">
        <f>"non-electricity_archetype_"&amp;TEXT(ROUND(Table3[[#This Row],[2016]],1),"0.0")</f>
        <v>non-electricity_archetype_8.7</v>
      </c>
      <c r="B217" s="5">
        <f t="shared" si="36"/>
        <v>8.7</v>
      </c>
      <c r="C217" s="5">
        <f t="shared" si="35"/>
        <v>8.7</v>
      </c>
      <c r="D217" s="5">
        <f t="shared" si="35"/>
        <v>8.7</v>
      </c>
      <c r="E217" s="5">
        <f t="shared" si="35"/>
        <v>8.7</v>
      </c>
      <c r="F217" s="5">
        <f t="shared" si="35"/>
        <v>8.7</v>
      </c>
      <c r="G217" s="5">
        <f t="shared" si="35"/>
        <v>8.50851991741208</v>
      </c>
      <c r="H217" s="5">
        <f t="shared" si="35"/>
        <v>8.60687887948305</v>
      </c>
      <c r="I217" s="5">
        <f t="shared" si="35"/>
        <v>8.58180987054715</v>
      </c>
      <c r="J217" s="5">
        <f t="shared" si="35"/>
        <v>8.52991044725667</v>
      </c>
      <c r="K217" s="5">
        <f t="shared" si="35"/>
        <v>8.49962470343035</v>
      </c>
      <c r="L217" s="5">
        <f t="shared" si="35"/>
        <v>7.93582033008012</v>
      </c>
      <c r="M217" s="5">
        <f t="shared" si="35"/>
        <v>7.86278250673678</v>
      </c>
      <c r="N217" s="5">
        <f t="shared" si="35"/>
        <v>7.8100586075354</v>
      </c>
      <c r="O217" s="5">
        <f t="shared" si="35"/>
        <v>7.73275787639255</v>
      </c>
      <c r="P217" s="5">
        <f t="shared" si="35"/>
        <v>7.39882296230209</v>
      </c>
      <c r="Q217" s="5">
        <f t="shared" si="35"/>
        <v>6.88519749807507</v>
      </c>
      <c r="R217" s="5">
        <f t="shared" si="35"/>
        <v>5.97435631653393</v>
      </c>
      <c r="S217" s="5">
        <f t="shared" si="38"/>
        <v>5.54884839229357</v>
      </c>
      <c r="T217" s="5">
        <f t="shared" si="38"/>
        <v>5.06500971522038</v>
      </c>
      <c r="U217" s="5">
        <f t="shared" si="38"/>
        <v>3.85871537821992</v>
      </c>
      <c r="V217" s="5">
        <f t="shared" si="38"/>
        <v>3.72517352958444</v>
      </c>
      <c r="W217" s="5">
        <f t="shared" si="38"/>
        <v>2.9145695751302</v>
      </c>
      <c r="X217" s="5">
        <f t="shared" si="38"/>
        <v>2.5978895093663</v>
      </c>
      <c r="Y217" s="5">
        <f t="shared" si="38"/>
        <v>2.2439247818979</v>
      </c>
      <c r="Z217" s="5">
        <f t="shared" si="38"/>
        <v>2.07951003263021</v>
      </c>
      <c r="AA217" s="5">
        <f t="shared" si="38"/>
        <v>1.74486843225032</v>
      </c>
      <c r="AB217" s="5">
        <f t="shared" si="38"/>
        <v>1.20812232787228</v>
      </c>
      <c r="AC217" s="5">
        <f t="shared" si="38"/>
        <v>0.97432038733469</v>
      </c>
      <c r="AD217" s="5">
        <f t="shared" si="38"/>
        <v>0.936617955132905</v>
      </c>
      <c r="AE217" s="5">
        <f t="shared" si="38"/>
        <v>0.666853608918985</v>
      </c>
      <c r="AF217" s="5">
        <f t="shared" si="38"/>
        <v>0.654628019097181</v>
      </c>
      <c r="AG217" s="5">
        <f t="shared" si="38"/>
        <v>0.621642381018078</v>
      </c>
      <c r="AH217" s="5">
        <f t="shared" si="38"/>
        <v>0.407600662056748</v>
      </c>
      <c r="AI217" s="5">
        <f t="shared" si="37"/>
        <v>0.301161375065224</v>
      </c>
      <c r="AJ217" s="5">
        <f t="shared" si="37"/>
        <v>0.267636408002995</v>
      </c>
    </row>
    <row r="218" spans="1:36">
      <c r="A218" t="str">
        <f>"non-electricity_archetype_"&amp;TEXT(ROUND(Table3[[#This Row],[2016]],1),"0.0")</f>
        <v>non-electricity_archetype_8.6</v>
      </c>
      <c r="B218" s="5">
        <f t="shared" si="36"/>
        <v>8.6</v>
      </c>
      <c r="C218" s="5">
        <f t="shared" si="35"/>
        <v>8.6</v>
      </c>
      <c r="D218" s="5">
        <f t="shared" si="35"/>
        <v>8.6</v>
      </c>
      <c r="E218" s="5">
        <f t="shared" si="35"/>
        <v>8.6</v>
      </c>
      <c r="F218" s="5">
        <f t="shared" si="35"/>
        <v>8.6</v>
      </c>
      <c r="G218" s="5">
        <f t="shared" si="35"/>
        <v>8.41079069333983</v>
      </c>
      <c r="H218" s="5">
        <f t="shared" si="35"/>
        <v>8.50798320947904</v>
      </c>
      <c r="I218" s="5">
        <f t="shared" si="35"/>
        <v>8.48321149570436</v>
      </c>
      <c r="J218" s="5">
        <f t="shared" si="35"/>
        <v>8.43192755136855</v>
      </c>
      <c r="K218" s="5">
        <f t="shared" si="35"/>
        <v>8.40200096833381</v>
      </c>
      <c r="L218" s="5">
        <f t="shared" si="35"/>
        <v>7.8448827911752</v>
      </c>
      <c r="M218" s="5">
        <f t="shared" si="35"/>
        <v>7.77271112857725</v>
      </c>
      <c r="N218" s="5">
        <f t="shared" si="35"/>
        <v>7.72061248584906</v>
      </c>
      <c r="O218" s="5">
        <f t="shared" si="35"/>
        <v>7.64422846957861</v>
      </c>
      <c r="P218" s="5">
        <f t="shared" si="35"/>
        <v>7.31425371340173</v>
      </c>
      <c r="Q218" s="5">
        <f t="shared" si="35"/>
        <v>6.8067193701116</v>
      </c>
      <c r="R218" s="5">
        <f t="shared" si="35"/>
        <v>5.90667991897029</v>
      </c>
      <c r="S218" s="5">
        <f t="shared" si="38"/>
        <v>5.48621812348848</v>
      </c>
      <c r="T218" s="5">
        <f t="shared" si="38"/>
        <v>5.00811732372329</v>
      </c>
      <c r="U218" s="5">
        <f t="shared" si="38"/>
        <v>3.81612851712175</v>
      </c>
      <c r="V218" s="5">
        <f t="shared" si="38"/>
        <v>3.6841703507739</v>
      </c>
      <c r="W218" s="5">
        <f t="shared" si="38"/>
        <v>2.88317940630921</v>
      </c>
      <c r="X218" s="5">
        <f t="shared" si="38"/>
        <v>2.5702548719845</v>
      </c>
      <c r="Y218" s="5">
        <f t="shared" si="38"/>
        <v>2.22048783741212</v>
      </c>
      <c r="Z218" s="5">
        <f t="shared" si="38"/>
        <v>2.058022894358</v>
      </c>
      <c r="AA218" s="5">
        <f t="shared" si="38"/>
        <v>1.7273498325347</v>
      </c>
      <c r="AB218" s="5">
        <f t="shared" si="38"/>
        <v>1.19696903841068</v>
      </c>
      <c r="AC218" s="5">
        <f t="shared" si="38"/>
        <v>0.965939771726482</v>
      </c>
      <c r="AD218" s="5">
        <f t="shared" si="38"/>
        <v>0.9286844553516</v>
      </c>
      <c r="AE218" s="5">
        <f t="shared" si="38"/>
        <v>0.662119263719557</v>
      </c>
      <c r="AF218" s="5">
        <f t="shared" si="38"/>
        <v>0.650038658037591</v>
      </c>
      <c r="AG218" s="5">
        <f t="shared" si="38"/>
        <v>0.617444198988177</v>
      </c>
      <c r="AH218" s="5">
        <f t="shared" si="38"/>
        <v>0.405940816006151</v>
      </c>
      <c r="AI218" s="5">
        <f t="shared" si="37"/>
        <v>0.300763800094737</v>
      </c>
      <c r="AJ218" s="5">
        <f t="shared" si="37"/>
        <v>0.267636408002995</v>
      </c>
    </row>
    <row r="219" spans="1:36">
      <c r="A219" t="str">
        <f>"non-electricity_archetype_"&amp;TEXT(ROUND(Table3[[#This Row],[2016]],1),"0.0")</f>
        <v>non-electricity_archetype_8.5</v>
      </c>
      <c r="B219" s="5">
        <f t="shared" si="36"/>
        <v>8.5</v>
      </c>
      <c r="C219" s="5">
        <f t="shared" si="35"/>
        <v>8.5</v>
      </c>
      <c r="D219" s="5">
        <f t="shared" si="35"/>
        <v>8.5</v>
      </c>
      <c r="E219" s="5">
        <f t="shared" si="35"/>
        <v>8.5</v>
      </c>
      <c r="F219" s="5">
        <f t="shared" si="35"/>
        <v>8.5</v>
      </c>
      <c r="G219" s="5">
        <f t="shared" si="35"/>
        <v>8.31306146926759</v>
      </c>
      <c r="H219" s="5">
        <f t="shared" si="35"/>
        <v>8.40908753947502</v>
      </c>
      <c r="I219" s="5">
        <f t="shared" si="35"/>
        <v>8.38461312086157</v>
      </c>
      <c r="J219" s="5">
        <f t="shared" si="35"/>
        <v>8.33394465548044</v>
      </c>
      <c r="K219" s="5">
        <f t="shared" si="35"/>
        <v>8.30437723323729</v>
      </c>
      <c r="L219" s="5">
        <f t="shared" si="35"/>
        <v>7.75394525227027</v>
      </c>
      <c r="M219" s="5">
        <f t="shared" si="35"/>
        <v>7.68263975041772</v>
      </c>
      <c r="N219" s="5">
        <f t="shared" si="35"/>
        <v>7.63116636416272</v>
      </c>
      <c r="O219" s="5">
        <f t="shared" si="35"/>
        <v>7.55569906276467</v>
      </c>
      <c r="P219" s="5">
        <f t="shared" si="35"/>
        <v>7.22968446450138</v>
      </c>
      <c r="Q219" s="5">
        <f t="shared" si="35"/>
        <v>6.72824124214814</v>
      </c>
      <c r="R219" s="5">
        <f t="shared" si="35"/>
        <v>5.83900352140666</v>
      </c>
      <c r="S219" s="5">
        <f t="shared" si="38"/>
        <v>5.42358785468338</v>
      </c>
      <c r="T219" s="5">
        <f t="shared" si="38"/>
        <v>4.95122493222619</v>
      </c>
      <c r="U219" s="5">
        <f t="shared" si="38"/>
        <v>3.77354165602357</v>
      </c>
      <c r="V219" s="5">
        <f t="shared" si="38"/>
        <v>3.64316717196336</v>
      </c>
      <c r="W219" s="5">
        <f t="shared" si="38"/>
        <v>2.85178923748822</v>
      </c>
      <c r="X219" s="5">
        <f t="shared" si="38"/>
        <v>2.5426202346027</v>
      </c>
      <c r="Y219" s="5">
        <f t="shared" si="38"/>
        <v>2.19705089292635</v>
      </c>
      <c r="Z219" s="5">
        <f t="shared" si="38"/>
        <v>2.0365357560858</v>
      </c>
      <c r="AA219" s="5">
        <f t="shared" si="38"/>
        <v>1.70983123281909</v>
      </c>
      <c r="AB219" s="5">
        <f t="shared" si="38"/>
        <v>1.18581574894909</v>
      </c>
      <c r="AC219" s="5">
        <f t="shared" si="38"/>
        <v>0.957559156118275</v>
      </c>
      <c r="AD219" s="5">
        <f t="shared" si="38"/>
        <v>0.920750955570295</v>
      </c>
      <c r="AE219" s="5">
        <f t="shared" si="38"/>
        <v>0.65738491852013</v>
      </c>
      <c r="AF219" s="5">
        <f t="shared" si="38"/>
        <v>0.645449296978001</v>
      </c>
      <c r="AG219" s="5">
        <f t="shared" si="38"/>
        <v>0.613246016958277</v>
      </c>
      <c r="AH219" s="5">
        <f t="shared" si="38"/>
        <v>0.404280969955554</v>
      </c>
      <c r="AI219" s="5">
        <f t="shared" si="37"/>
        <v>0.30036622512425</v>
      </c>
      <c r="AJ219" s="5">
        <f t="shared" si="37"/>
        <v>0.267636408002995</v>
      </c>
    </row>
    <row r="220" spans="1:36">
      <c r="A220" t="str">
        <f>"non-electricity_archetype_"&amp;TEXT(ROUND(Table3[[#This Row],[2016]],1),"0.0")</f>
        <v>non-electricity_archetype_8.4</v>
      </c>
      <c r="B220" s="5">
        <f t="shared" si="36"/>
        <v>8.4</v>
      </c>
      <c r="C220" s="5">
        <f t="shared" si="35"/>
        <v>8.4</v>
      </c>
      <c r="D220" s="5">
        <f t="shared" si="35"/>
        <v>8.4</v>
      </c>
      <c r="E220" s="5">
        <f t="shared" si="35"/>
        <v>8.4</v>
      </c>
      <c r="F220" s="5">
        <f t="shared" si="35"/>
        <v>8.4</v>
      </c>
      <c r="G220" s="5">
        <f t="shared" si="35"/>
        <v>8.21533224519535</v>
      </c>
      <c r="H220" s="5">
        <f t="shared" si="35"/>
        <v>8.31019186947101</v>
      </c>
      <c r="I220" s="5">
        <f t="shared" si="35"/>
        <v>8.28601474601878</v>
      </c>
      <c r="J220" s="5">
        <f t="shared" si="35"/>
        <v>8.23596175959232</v>
      </c>
      <c r="K220" s="5">
        <f t="shared" si="35"/>
        <v>8.20675349814076</v>
      </c>
      <c r="L220" s="5">
        <f t="shared" si="35"/>
        <v>7.66300771336534</v>
      </c>
      <c r="M220" s="5">
        <f t="shared" si="35"/>
        <v>7.5925683722582</v>
      </c>
      <c r="N220" s="5">
        <f t="shared" si="35"/>
        <v>7.54172024247638</v>
      </c>
      <c r="O220" s="5">
        <f t="shared" si="35"/>
        <v>7.46716965595073</v>
      </c>
      <c r="P220" s="5">
        <f t="shared" si="35"/>
        <v>7.14511521560102</v>
      </c>
      <c r="Q220" s="5">
        <f t="shared" si="35"/>
        <v>6.64976311418467</v>
      </c>
      <c r="R220" s="5">
        <f t="shared" si="35"/>
        <v>5.77132712384303</v>
      </c>
      <c r="S220" s="5">
        <f t="shared" si="38"/>
        <v>5.36095758587829</v>
      </c>
      <c r="T220" s="5">
        <f t="shared" si="38"/>
        <v>4.8943325407291</v>
      </c>
      <c r="U220" s="5">
        <f t="shared" si="38"/>
        <v>3.73095479492539</v>
      </c>
      <c r="V220" s="5">
        <f t="shared" si="38"/>
        <v>3.60216399315282</v>
      </c>
      <c r="W220" s="5">
        <f t="shared" si="38"/>
        <v>2.82039906866724</v>
      </c>
      <c r="X220" s="5">
        <f t="shared" si="38"/>
        <v>2.5149855972209</v>
      </c>
      <c r="Y220" s="5">
        <f t="shared" si="38"/>
        <v>2.17361394844058</v>
      </c>
      <c r="Z220" s="5">
        <f t="shared" si="38"/>
        <v>2.0150486178136</v>
      </c>
      <c r="AA220" s="5">
        <f t="shared" si="38"/>
        <v>1.69231263310347</v>
      </c>
      <c r="AB220" s="5">
        <f t="shared" si="38"/>
        <v>1.1746624594875</v>
      </c>
      <c r="AC220" s="5">
        <f t="shared" si="38"/>
        <v>0.949178540510067</v>
      </c>
      <c r="AD220" s="5">
        <f t="shared" si="38"/>
        <v>0.91281745578899</v>
      </c>
      <c r="AE220" s="5">
        <f t="shared" si="38"/>
        <v>0.652650573320702</v>
      </c>
      <c r="AF220" s="5">
        <f t="shared" si="38"/>
        <v>0.64085993591841</v>
      </c>
      <c r="AG220" s="5">
        <f t="shared" si="38"/>
        <v>0.609047834928376</v>
      </c>
      <c r="AH220" s="5">
        <f t="shared" si="38"/>
        <v>0.402621123904956</v>
      </c>
      <c r="AI220" s="5">
        <f t="shared" si="37"/>
        <v>0.299968650153764</v>
      </c>
      <c r="AJ220" s="5">
        <f t="shared" si="37"/>
        <v>0.267636408002995</v>
      </c>
    </row>
    <row r="221" spans="1:36">
      <c r="A221" t="str">
        <f>"non-electricity_archetype_"&amp;TEXT(ROUND(Table3[[#This Row],[2016]],1),"0.0")</f>
        <v>non-electricity_archetype_8.3</v>
      </c>
      <c r="B221" s="5">
        <f t="shared" si="36"/>
        <v>8.3</v>
      </c>
      <c r="C221" s="5">
        <f t="shared" si="35"/>
        <v>8.3</v>
      </c>
      <c r="D221" s="5">
        <f t="shared" si="35"/>
        <v>8.3</v>
      </c>
      <c r="E221" s="5">
        <f t="shared" si="35"/>
        <v>8.3</v>
      </c>
      <c r="F221" s="5">
        <f t="shared" si="35"/>
        <v>8.3</v>
      </c>
      <c r="G221" s="5">
        <f t="shared" si="35"/>
        <v>8.1176030211231</v>
      </c>
      <c r="H221" s="5">
        <f t="shared" si="35"/>
        <v>8.21129619946699</v>
      </c>
      <c r="I221" s="5">
        <f t="shared" si="35"/>
        <v>8.18741637117599</v>
      </c>
      <c r="J221" s="5">
        <f t="shared" si="35"/>
        <v>8.13797886370421</v>
      </c>
      <c r="K221" s="5">
        <f t="shared" si="35"/>
        <v>8.10912976304423</v>
      </c>
      <c r="L221" s="5">
        <f t="shared" si="35"/>
        <v>7.57207017446042</v>
      </c>
      <c r="M221" s="5">
        <f t="shared" si="35"/>
        <v>7.50249699409867</v>
      </c>
      <c r="N221" s="5">
        <f t="shared" si="35"/>
        <v>7.45227412079004</v>
      </c>
      <c r="O221" s="5">
        <f t="shared" si="35"/>
        <v>7.37864024913679</v>
      </c>
      <c r="P221" s="5">
        <f t="shared" si="35"/>
        <v>7.06054596670066</v>
      </c>
      <c r="Q221" s="5">
        <f t="shared" si="35"/>
        <v>6.57128498622121</v>
      </c>
      <c r="R221" s="5">
        <f t="shared" si="35"/>
        <v>5.7036507262794</v>
      </c>
      <c r="S221" s="5">
        <f t="shared" si="38"/>
        <v>5.2983273170732</v>
      </c>
      <c r="T221" s="5">
        <f t="shared" si="38"/>
        <v>4.83744014923201</v>
      </c>
      <c r="U221" s="5">
        <f t="shared" si="38"/>
        <v>3.68836793382722</v>
      </c>
      <c r="V221" s="5">
        <f t="shared" si="38"/>
        <v>3.56116081434228</v>
      </c>
      <c r="W221" s="5">
        <f t="shared" si="38"/>
        <v>2.78900889984625</v>
      </c>
      <c r="X221" s="5">
        <f t="shared" si="38"/>
        <v>2.4873509598391</v>
      </c>
      <c r="Y221" s="5">
        <f t="shared" si="38"/>
        <v>2.1501770039548</v>
      </c>
      <c r="Z221" s="5">
        <f t="shared" si="38"/>
        <v>1.9935614795414</v>
      </c>
      <c r="AA221" s="5">
        <f t="shared" si="38"/>
        <v>1.67479403338786</v>
      </c>
      <c r="AB221" s="5">
        <f t="shared" si="38"/>
        <v>1.16350917002591</v>
      </c>
      <c r="AC221" s="5">
        <f t="shared" si="38"/>
        <v>0.94079792490186</v>
      </c>
      <c r="AD221" s="5">
        <f t="shared" si="38"/>
        <v>0.904883956007686</v>
      </c>
      <c r="AE221" s="5">
        <f t="shared" si="38"/>
        <v>0.647916228121275</v>
      </c>
      <c r="AF221" s="5">
        <f t="shared" si="38"/>
        <v>0.63627057485882</v>
      </c>
      <c r="AG221" s="5">
        <f t="shared" si="38"/>
        <v>0.604849652898476</v>
      </c>
      <c r="AH221" s="5">
        <f t="shared" si="38"/>
        <v>0.400961277854359</v>
      </c>
      <c r="AI221" s="5">
        <f t="shared" si="37"/>
        <v>0.299571075183277</v>
      </c>
      <c r="AJ221" s="5">
        <f t="shared" si="37"/>
        <v>0.267636408002995</v>
      </c>
    </row>
    <row r="222" spans="1:36">
      <c r="A222" t="str">
        <f>"non-electricity_archetype_"&amp;TEXT(ROUND(Table3[[#This Row],[2016]],1),"0.0")</f>
        <v>non-electricity_archetype_8.2</v>
      </c>
      <c r="B222" s="5">
        <f t="shared" si="36"/>
        <v>8.2</v>
      </c>
      <c r="C222" s="5">
        <f t="shared" si="35"/>
        <v>8.2</v>
      </c>
      <c r="D222" s="5">
        <f t="shared" si="35"/>
        <v>8.2</v>
      </c>
      <c r="E222" s="5">
        <f t="shared" si="35"/>
        <v>8.2</v>
      </c>
      <c r="F222" s="5">
        <f t="shared" si="35"/>
        <v>8.2</v>
      </c>
      <c r="G222" s="5">
        <f t="shared" si="35"/>
        <v>8.01987379705086</v>
      </c>
      <c r="H222" s="5">
        <f t="shared" si="35"/>
        <v>8.11240052946298</v>
      </c>
      <c r="I222" s="5">
        <f t="shared" si="35"/>
        <v>8.0888179963332</v>
      </c>
      <c r="J222" s="5">
        <f t="shared" si="35"/>
        <v>8.0399959678161</v>
      </c>
      <c r="K222" s="5">
        <f t="shared" si="35"/>
        <v>8.0115060279477</v>
      </c>
      <c r="L222" s="5">
        <f t="shared" si="35"/>
        <v>7.48113263555549</v>
      </c>
      <c r="M222" s="5">
        <f t="shared" si="35"/>
        <v>7.41242561593915</v>
      </c>
      <c r="N222" s="5">
        <f t="shared" si="35"/>
        <v>7.36282799910369</v>
      </c>
      <c r="O222" s="5">
        <f t="shared" si="35"/>
        <v>7.29011084232285</v>
      </c>
      <c r="P222" s="5">
        <f t="shared" si="35"/>
        <v>6.9759767178003</v>
      </c>
      <c r="Q222" s="5">
        <f t="shared" si="35"/>
        <v>6.49280685825774</v>
      </c>
      <c r="R222" s="5">
        <f t="shared" si="35"/>
        <v>5.63597432871576</v>
      </c>
      <c r="S222" s="5">
        <f t="shared" si="38"/>
        <v>5.2356970482681</v>
      </c>
      <c r="T222" s="5">
        <f t="shared" si="38"/>
        <v>4.78054775773491</v>
      </c>
      <c r="U222" s="5">
        <f t="shared" si="38"/>
        <v>3.64578107272904</v>
      </c>
      <c r="V222" s="5">
        <f t="shared" si="38"/>
        <v>3.52015763553174</v>
      </c>
      <c r="W222" s="5">
        <f t="shared" si="38"/>
        <v>2.75761873102527</v>
      </c>
      <c r="X222" s="5">
        <f t="shared" si="38"/>
        <v>2.4597163224573</v>
      </c>
      <c r="Y222" s="5">
        <f t="shared" si="38"/>
        <v>2.12674005946903</v>
      </c>
      <c r="Z222" s="5">
        <f t="shared" si="38"/>
        <v>1.9720743412692</v>
      </c>
      <c r="AA222" s="5">
        <f t="shared" si="38"/>
        <v>1.65727543367224</v>
      </c>
      <c r="AB222" s="5">
        <f t="shared" si="38"/>
        <v>1.15235588056432</v>
      </c>
      <c r="AC222" s="5">
        <f t="shared" si="38"/>
        <v>0.932417309293653</v>
      </c>
      <c r="AD222" s="5">
        <f t="shared" si="38"/>
        <v>0.896950456226381</v>
      </c>
      <c r="AE222" s="5">
        <f t="shared" si="38"/>
        <v>0.643181882921847</v>
      </c>
      <c r="AF222" s="5">
        <f t="shared" si="38"/>
        <v>0.631681213799229</v>
      </c>
      <c r="AG222" s="5">
        <f t="shared" si="38"/>
        <v>0.600651470868576</v>
      </c>
      <c r="AH222" s="5">
        <f t="shared" si="38"/>
        <v>0.399301431803762</v>
      </c>
      <c r="AI222" s="5">
        <f t="shared" si="37"/>
        <v>0.29917350021279</v>
      </c>
      <c r="AJ222" s="5">
        <f t="shared" si="37"/>
        <v>0.267636408002995</v>
      </c>
    </row>
    <row r="223" spans="1:36">
      <c r="A223" t="str">
        <f>"non-electricity_archetype_"&amp;TEXT(ROUND(Table3[[#This Row],[2016]],1),"0.0")</f>
        <v>non-electricity_archetype_8.1</v>
      </c>
      <c r="B223" s="5">
        <f t="shared" si="36"/>
        <v>8.1</v>
      </c>
      <c r="C223" s="5">
        <f t="shared" si="35"/>
        <v>8.1</v>
      </c>
      <c r="D223" s="5">
        <f t="shared" si="35"/>
        <v>8.1</v>
      </c>
      <c r="E223" s="5">
        <f t="shared" si="35"/>
        <v>8.1</v>
      </c>
      <c r="F223" s="5">
        <f t="shared" si="35"/>
        <v>8.1</v>
      </c>
      <c r="G223" s="5">
        <f t="shared" si="35"/>
        <v>7.92214457297861</v>
      </c>
      <c r="H223" s="5">
        <f t="shared" si="35"/>
        <v>8.01350485945896</v>
      </c>
      <c r="I223" s="5">
        <f t="shared" si="35"/>
        <v>7.99021962149041</v>
      </c>
      <c r="J223" s="5">
        <f t="shared" si="35"/>
        <v>7.94201307192798</v>
      </c>
      <c r="K223" s="5">
        <f t="shared" si="35"/>
        <v>7.91388229285117</v>
      </c>
      <c r="L223" s="5">
        <f t="shared" si="35"/>
        <v>7.39019509665056</v>
      </c>
      <c r="M223" s="5">
        <f t="shared" si="35"/>
        <v>7.32235423777962</v>
      </c>
      <c r="N223" s="5">
        <f t="shared" si="35"/>
        <v>7.27338187741735</v>
      </c>
      <c r="O223" s="5">
        <f t="shared" si="35"/>
        <v>7.20158143550891</v>
      </c>
      <c r="P223" s="5">
        <f t="shared" si="35"/>
        <v>6.89140746889994</v>
      </c>
      <c r="Q223" s="5">
        <f t="shared" si="35"/>
        <v>6.41432873029428</v>
      </c>
      <c r="R223" s="5">
        <f t="shared" si="35"/>
        <v>5.56829793115213</v>
      </c>
      <c r="S223" s="5">
        <f t="shared" si="38"/>
        <v>5.17306677946301</v>
      </c>
      <c r="T223" s="5">
        <f t="shared" si="38"/>
        <v>4.72365536623782</v>
      </c>
      <c r="U223" s="5">
        <f t="shared" si="38"/>
        <v>3.60319421163087</v>
      </c>
      <c r="V223" s="5">
        <f t="shared" si="38"/>
        <v>3.4791544567212</v>
      </c>
      <c r="W223" s="5">
        <f t="shared" si="38"/>
        <v>2.72622856220428</v>
      </c>
      <c r="X223" s="5">
        <f t="shared" si="38"/>
        <v>2.4320816850755</v>
      </c>
      <c r="Y223" s="5">
        <f t="shared" si="38"/>
        <v>2.10330311498326</v>
      </c>
      <c r="Z223" s="5">
        <f t="shared" si="38"/>
        <v>1.95058720299699</v>
      </c>
      <c r="AA223" s="5">
        <f t="shared" si="38"/>
        <v>1.63975683395662</v>
      </c>
      <c r="AB223" s="5">
        <f t="shared" si="38"/>
        <v>1.14120259110273</v>
      </c>
      <c r="AC223" s="5">
        <f t="shared" si="38"/>
        <v>0.924036693685445</v>
      </c>
      <c r="AD223" s="5">
        <f t="shared" si="38"/>
        <v>0.889016956445076</v>
      </c>
      <c r="AE223" s="5">
        <f t="shared" si="38"/>
        <v>0.638447537722419</v>
      </c>
      <c r="AF223" s="5">
        <f t="shared" si="38"/>
        <v>0.627091852739639</v>
      </c>
      <c r="AG223" s="5">
        <f t="shared" si="38"/>
        <v>0.596453288838675</v>
      </c>
      <c r="AH223" s="5">
        <f t="shared" si="38"/>
        <v>0.397641585753165</v>
      </c>
      <c r="AI223" s="5">
        <f t="shared" si="37"/>
        <v>0.298775925242303</v>
      </c>
      <c r="AJ223" s="5">
        <f t="shared" si="37"/>
        <v>0.267636408002995</v>
      </c>
    </row>
    <row r="224" spans="1:36">
      <c r="A224" t="str">
        <f>"non-electricity_archetype_"&amp;TEXT(ROUND(Table3[[#This Row],[2016]],1),"0.0")</f>
        <v>non-electricity_archetype_8.0</v>
      </c>
      <c r="B224" s="5">
        <f t="shared" si="36"/>
        <v>8</v>
      </c>
      <c r="C224" s="5">
        <f t="shared" si="35"/>
        <v>8</v>
      </c>
      <c r="D224" s="5">
        <f t="shared" si="35"/>
        <v>8</v>
      </c>
      <c r="E224" s="5">
        <f t="shared" si="35"/>
        <v>8</v>
      </c>
      <c r="F224" s="5">
        <f t="shared" si="35"/>
        <v>8</v>
      </c>
      <c r="G224" s="5">
        <f t="shared" si="35"/>
        <v>7.82441534890637</v>
      </c>
      <c r="H224" s="5">
        <f t="shared" si="35"/>
        <v>7.91460918945495</v>
      </c>
      <c r="I224" s="5">
        <f t="shared" si="35"/>
        <v>7.89162124664762</v>
      </c>
      <c r="J224" s="5">
        <f t="shared" si="35"/>
        <v>7.84403017603987</v>
      </c>
      <c r="K224" s="5">
        <f t="shared" si="35"/>
        <v>7.81625855775464</v>
      </c>
      <c r="L224" s="5">
        <f t="shared" si="35"/>
        <v>7.29925755774564</v>
      </c>
      <c r="M224" s="5">
        <f t="shared" si="35"/>
        <v>7.2322828596201</v>
      </c>
      <c r="N224" s="5">
        <f t="shared" si="35"/>
        <v>7.18393575573101</v>
      </c>
      <c r="O224" s="5">
        <f t="shared" si="35"/>
        <v>7.11305202869497</v>
      </c>
      <c r="P224" s="5">
        <f t="shared" si="35"/>
        <v>6.80683821999959</v>
      </c>
      <c r="Q224" s="5">
        <f t="shared" si="35"/>
        <v>6.33585060233081</v>
      </c>
      <c r="R224" s="5">
        <f t="shared" si="35"/>
        <v>5.5006215335885</v>
      </c>
      <c r="S224" s="5">
        <f t="shared" si="38"/>
        <v>5.11043651065792</v>
      </c>
      <c r="T224" s="5">
        <f t="shared" si="38"/>
        <v>4.66676297474072</v>
      </c>
      <c r="U224" s="5">
        <f t="shared" si="38"/>
        <v>3.56060735053269</v>
      </c>
      <c r="V224" s="5">
        <f t="shared" si="38"/>
        <v>3.43815127791066</v>
      </c>
      <c r="W224" s="5">
        <f t="shared" si="38"/>
        <v>2.69483839338329</v>
      </c>
      <c r="X224" s="5">
        <f t="shared" si="38"/>
        <v>2.4044470476937</v>
      </c>
      <c r="Y224" s="5">
        <f t="shared" si="38"/>
        <v>2.07986617049748</v>
      </c>
      <c r="Z224" s="5">
        <f t="shared" si="38"/>
        <v>1.92910006472479</v>
      </c>
      <c r="AA224" s="5">
        <f t="shared" si="38"/>
        <v>1.62223823424101</v>
      </c>
      <c r="AB224" s="5">
        <f t="shared" si="38"/>
        <v>1.13004930164113</v>
      </c>
      <c r="AC224" s="5">
        <f t="shared" si="38"/>
        <v>0.915656078077238</v>
      </c>
      <c r="AD224" s="5">
        <f t="shared" si="38"/>
        <v>0.881083456663771</v>
      </c>
      <c r="AE224" s="5">
        <f t="shared" si="38"/>
        <v>0.633713192522992</v>
      </c>
      <c r="AF224" s="5">
        <f t="shared" si="38"/>
        <v>0.622502491680049</v>
      </c>
      <c r="AG224" s="5">
        <f t="shared" si="38"/>
        <v>0.592255106808775</v>
      </c>
      <c r="AH224" s="5">
        <f t="shared" si="38"/>
        <v>0.395981739702568</v>
      </c>
      <c r="AI224" s="5">
        <f t="shared" si="37"/>
        <v>0.298378350271816</v>
      </c>
      <c r="AJ224" s="5">
        <f t="shared" si="37"/>
        <v>0.267636408002995</v>
      </c>
    </row>
    <row r="225" spans="1:36">
      <c r="A225" t="str">
        <f>"non-electricity_archetype_"&amp;TEXT(ROUND(Table3[[#This Row],[2016]],1),"0.0")</f>
        <v>non-electricity_archetype_7.9</v>
      </c>
      <c r="B225" s="5">
        <f t="shared" si="36"/>
        <v>7.9</v>
      </c>
      <c r="C225" s="5">
        <f t="shared" si="35"/>
        <v>7.9</v>
      </c>
      <c r="D225" s="5">
        <f t="shared" si="35"/>
        <v>7.9</v>
      </c>
      <c r="E225" s="5">
        <f t="shared" si="35"/>
        <v>7.9</v>
      </c>
      <c r="F225" s="5">
        <f t="shared" si="35"/>
        <v>7.9</v>
      </c>
      <c r="G225" s="5">
        <f t="shared" si="35"/>
        <v>7.72668612483413</v>
      </c>
      <c r="H225" s="5">
        <f t="shared" si="35"/>
        <v>7.81571351945093</v>
      </c>
      <c r="I225" s="5">
        <f t="shared" si="35"/>
        <v>7.79302287180483</v>
      </c>
      <c r="J225" s="5">
        <f t="shared" si="35"/>
        <v>7.74604728015175</v>
      </c>
      <c r="K225" s="5">
        <f t="shared" si="35"/>
        <v>7.71863482265811</v>
      </c>
      <c r="L225" s="5">
        <f t="shared" si="35"/>
        <v>7.20832001884071</v>
      </c>
      <c r="M225" s="5">
        <f t="shared" si="35"/>
        <v>7.14221148146057</v>
      </c>
      <c r="N225" s="5">
        <f t="shared" si="35"/>
        <v>7.09448963404467</v>
      </c>
      <c r="O225" s="5">
        <f t="shared" si="35"/>
        <v>7.02452262188103</v>
      </c>
      <c r="P225" s="5">
        <f t="shared" si="35"/>
        <v>6.72226897109923</v>
      </c>
      <c r="Q225" s="5">
        <f t="shared" si="35"/>
        <v>6.25737247436735</v>
      </c>
      <c r="R225" s="5">
        <f t="shared" si="35"/>
        <v>5.43294513602486</v>
      </c>
      <c r="S225" s="5">
        <f t="shared" si="38"/>
        <v>5.04780624185282</v>
      </c>
      <c r="T225" s="5">
        <f t="shared" si="38"/>
        <v>4.60987058324363</v>
      </c>
      <c r="U225" s="5">
        <f t="shared" si="38"/>
        <v>3.51802048943451</v>
      </c>
      <c r="V225" s="5">
        <f t="shared" si="38"/>
        <v>3.39714809910012</v>
      </c>
      <c r="W225" s="5">
        <f t="shared" si="38"/>
        <v>2.66344822456231</v>
      </c>
      <c r="X225" s="5">
        <f t="shared" si="38"/>
        <v>2.3768124103119</v>
      </c>
      <c r="Y225" s="5">
        <f t="shared" si="38"/>
        <v>2.05642922601171</v>
      </c>
      <c r="Z225" s="5">
        <f t="shared" si="38"/>
        <v>1.90761292645259</v>
      </c>
      <c r="AA225" s="5">
        <f t="shared" si="38"/>
        <v>1.60471963452539</v>
      </c>
      <c r="AB225" s="5">
        <f t="shared" si="38"/>
        <v>1.11889601217954</v>
      </c>
      <c r="AC225" s="5">
        <f t="shared" si="38"/>
        <v>0.907275462469031</v>
      </c>
      <c r="AD225" s="5">
        <f t="shared" si="38"/>
        <v>0.873149956882466</v>
      </c>
      <c r="AE225" s="5">
        <f t="shared" si="38"/>
        <v>0.628978847323564</v>
      </c>
      <c r="AF225" s="5">
        <f t="shared" si="38"/>
        <v>0.617913130620458</v>
      </c>
      <c r="AG225" s="5">
        <f t="shared" si="38"/>
        <v>0.588056924778875</v>
      </c>
      <c r="AH225" s="5">
        <f t="shared" si="38"/>
        <v>0.394321893651971</v>
      </c>
      <c r="AI225" s="5">
        <f t="shared" si="37"/>
        <v>0.297980775301329</v>
      </c>
      <c r="AJ225" s="5">
        <f t="shared" si="37"/>
        <v>0.267636408002995</v>
      </c>
    </row>
    <row r="226" spans="1:36">
      <c r="A226" t="str">
        <f>"non-electricity_archetype_"&amp;TEXT(ROUND(Table3[[#This Row],[2016]],1),"0.0")</f>
        <v>non-electricity_archetype_7.8</v>
      </c>
      <c r="B226" s="5">
        <f t="shared" si="36"/>
        <v>7.8</v>
      </c>
      <c r="C226" s="5">
        <f t="shared" si="35"/>
        <v>7.8</v>
      </c>
      <c r="D226" s="5">
        <f t="shared" si="35"/>
        <v>7.8</v>
      </c>
      <c r="E226" s="5">
        <f t="shared" si="35"/>
        <v>7.8</v>
      </c>
      <c r="F226" s="5">
        <f t="shared" si="35"/>
        <v>7.8</v>
      </c>
      <c r="G226" s="5">
        <f t="shared" si="35"/>
        <v>7.62895690076188</v>
      </c>
      <c r="H226" s="5">
        <f t="shared" si="35"/>
        <v>7.71681784944692</v>
      </c>
      <c r="I226" s="5">
        <f t="shared" si="35"/>
        <v>7.69442449696204</v>
      </c>
      <c r="J226" s="5">
        <f t="shared" si="35"/>
        <v>7.64806438426364</v>
      </c>
      <c r="K226" s="5">
        <f t="shared" si="35"/>
        <v>7.62101108756158</v>
      </c>
      <c r="L226" s="5">
        <f t="shared" si="35"/>
        <v>7.11738247993579</v>
      </c>
      <c r="M226" s="5">
        <f t="shared" si="35"/>
        <v>7.05214010330105</v>
      </c>
      <c r="N226" s="5">
        <f t="shared" si="35"/>
        <v>7.00504351235833</v>
      </c>
      <c r="O226" s="5">
        <f t="shared" si="35"/>
        <v>6.93599321506709</v>
      </c>
      <c r="P226" s="5">
        <f t="shared" si="35"/>
        <v>6.63769972219887</v>
      </c>
      <c r="Q226" s="5">
        <f t="shared" si="35"/>
        <v>6.17889434640388</v>
      </c>
      <c r="R226" s="5">
        <f t="shared" si="35"/>
        <v>5.36526873846123</v>
      </c>
      <c r="S226" s="5">
        <f t="shared" si="38"/>
        <v>4.98517597304773</v>
      </c>
      <c r="T226" s="5">
        <f t="shared" si="38"/>
        <v>4.55297819174653</v>
      </c>
      <c r="U226" s="5">
        <f t="shared" si="38"/>
        <v>3.47543362833634</v>
      </c>
      <c r="V226" s="5">
        <f t="shared" si="38"/>
        <v>3.35614492028958</v>
      </c>
      <c r="W226" s="5">
        <f t="shared" si="38"/>
        <v>2.63205805574132</v>
      </c>
      <c r="X226" s="5">
        <f t="shared" si="38"/>
        <v>2.3491777729301</v>
      </c>
      <c r="Y226" s="5">
        <f t="shared" si="38"/>
        <v>2.03299228152594</v>
      </c>
      <c r="Z226" s="5">
        <f t="shared" si="38"/>
        <v>1.88612578818039</v>
      </c>
      <c r="AA226" s="5">
        <f t="shared" si="38"/>
        <v>1.58720103480977</v>
      </c>
      <c r="AB226" s="5">
        <f t="shared" si="38"/>
        <v>1.10774272271795</v>
      </c>
      <c r="AC226" s="5">
        <f t="shared" si="38"/>
        <v>0.898894846860823</v>
      </c>
      <c r="AD226" s="5">
        <f t="shared" si="38"/>
        <v>0.865216457101161</v>
      </c>
      <c r="AE226" s="5">
        <f t="shared" si="38"/>
        <v>0.624244502124137</v>
      </c>
      <c r="AF226" s="5">
        <f t="shared" si="38"/>
        <v>0.613323769560868</v>
      </c>
      <c r="AG226" s="5">
        <f t="shared" si="38"/>
        <v>0.583858742748974</v>
      </c>
      <c r="AH226" s="5">
        <f t="shared" si="38"/>
        <v>0.392662047601374</v>
      </c>
      <c r="AI226" s="5">
        <f t="shared" si="37"/>
        <v>0.297583200330842</v>
      </c>
      <c r="AJ226" s="5">
        <f t="shared" si="37"/>
        <v>0.267636408002995</v>
      </c>
    </row>
    <row r="227" spans="1:36">
      <c r="A227" t="str">
        <f>"non-electricity_archetype_"&amp;TEXT(ROUND(Table3[[#This Row],[2016]],1),"0.0")</f>
        <v>non-electricity_archetype_7.7</v>
      </c>
      <c r="B227" s="5">
        <f t="shared" si="36"/>
        <v>7.7</v>
      </c>
      <c r="C227" s="5">
        <f t="shared" si="35"/>
        <v>7.7</v>
      </c>
      <c r="D227" s="5">
        <f t="shared" si="35"/>
        <v>7.7</v>
      </c>
      <c r="E227" s="5">
        <f t="shared" si="35"/>
        <v>7.7</v>
      </c>
      <c r="F227" s="5">
        <f t="shared" si="35"/>
        <v>7.7</v>
      </c>
      <c r="G227" s="5">
        <f t="shared" si="35"/>
        <v>7.53122767668964</v>
      </c>
      <c r="H227" s="5">
        <f t="shared" si="35"/>
        <v>7.6179221794429</v>
      </c>
      <c r="I227" s="5">
        <f t="shared" si="35"/>
        <v>7.59582612211925</v>
      </c>
      <c r="J227" s="5">
        <f t="shared" si="35"/>
        <v>7.55008148837552</v>
      </c>
      <c r="K227" s="5">
        <f t="shared" ref="K227:Z242" si="39">(($B227-$AJ$3)*((K$3-$AJ$3)/($B$3-$AJ$3)))+$AJ$3</f>
        <v>7.52338735246505</v>
      </c>
      <c r="L227" s="5">
        <f t="shared" si="39"/>
        <v>7.02644494103086</v>
      </c>
      <c r="M227" s="5">
        <f t="shared" si="39"/>
        <v>6.96206872514152</v>
      </c>
      <c r="N227" s="5">
        <f t="shared" si="39"/>
        <v>6.91559739067199</v>
      </c>
      <c r="O227" s="5">
        <f t="shared" si="39"/>
        <v>6.84746380825315</v>
      </c>
      <c r="P227" s="5">
        <f t="shared" si="39"/>
        <v>6.55313047329851</v>
      </c>
      <c r="Q227" s="5">
        <f t="shared" si="39"/>
        <v>6.10041621844042</v>
      </c>
      <c r="R227" s="5">
        <f t="shared" si="39"/>
        <v>5.2975923408976</v>
      </c>
      <c r="S227" s="5">
        <f t="shared" si="39"/>
        <v>4.92254570424263</v>
      </c>
      <c r="T227" s="5">
        <f t="shared" si="39"/>
        <v>4.49608580024944</v>
      </c>
      <c r="U227" s="5">
        <f t="shared" si="39"/>
        <v>3.43284676723816</v>
      </c>
      <c r="V227" s="5">
        <f t="shared" si="39"/>
        <v>3.31514174147903</v>
      </c>
      <c r="W227" s="5">
        <f t="shared" si="39"/>
        <v>2.60066788692034</v>
      </c>
      <c r="X227" s="5">
        <f t="shared" si="39"/>
        <v>2.3215431355483</v>
      </c>
      <c r="Y227" s="5">
        <f t="shared" si="39"/>
        <v>2.00955533704016</v>
      </c>
      <c r="Z227" s="5">
        <f t="shared" si="39"/>
        <v>1.86463864990819</v>
      </c>
      <c r="AA227" s="5">
        <f t="shared" si="38"/>
        <v>1.56968243509416</v>
      </c>
      <c r="AB227" s="5">
        <f t="shared" si="38"/>
        <v>1.09658943325636</v>
      </c>
      <c r="AC227" s="5">
        <f t="shared" si="38"/>
        <v>0.890514231252616</v>
      </c>
      <c r="AD227" s="5">
        <f t="shared" si="38"/>
        <v>0.857282957319857</v>
      </c>
      <c r="AE227" s="5">
        <f t="shared" si="38"/>
        <v>0.619510156924709</v>
      </c>
      <c r="AF227" s="5">
        <f t="shared" si="38"/>
        <v>0.608734408501278</v>
      </c>
      <c r="AG227" s="5">
        <f t="shared" si="38"/>
        <v>0.579660560719074</v>
      </c>
      <c r="AH227" s="5">
        <f t="shared" si="38"/>
        <v>0.391002201550776</v>
      </c>
      <c r="AI227" s="5">
        <f t="shared" si="37"/>
        <v>0.297185625360355</v>
      </c>
      <c r="AJ227" s="5">
        <f t="shared" si="37"/>
        <v>0.267636408002995</v>
      </c>
    </row>
    <row r="228" spans="1:36">
      <c r="A228" t="str">
        <f>"non-electricity_archetype_"&amp;TEXT(ROUND(Table3[[#This Row],[2016]],1),"0.0")</f>
        <v>non-electricity_archetype_7.6</v>
      </c>
      <c r="B228" s="5">
        <f t="shared" si="36"/>
        <v>7.6</v>
      </c>
      <c r="C228" s="5">
        <f t="shared" ref="C228:R243" si="40">(($B228-$AJ$3)*((C$3-$AJ$3)/($B$3-$AJ$3)))+$AJ$3</f>
        <v>7.6</v>
      </c>
      <c r="D228" s="5">
        <f t="shared" si="40"/>
        <v>7.6</v>
      </c>
      <c r="E228" s="5">
        <f t="shared" si="40"/>
        <v>7.6</v>
      </c>
      <c r="F228" s="5">
        <f t="shared" si="40"/>
        <v>7.6</v>
      </c>
      <c r="G228" s="5">
        <f t="shared" si="40"/>
        <v>7.43349845261739</v>
      </c>
      <c r="H228" s="5">
        <f t="shared" si="40"/>
        <v>7.51902650943889</v>
      </c>
      <c r="I228" s="5">
        <f t="shared" si="40"/>
        <v>7.49722774727646</v>
      </c>
      <c r="J228" s="5">
        <f t="shared" si="40"/>
        <v>7.45209859248741</v>
      </c>
      <c r="K228" s="5">
        <f t="shared" si="40"/>
        <v>7.42576361736852</v>
      </c>
      <c r="L228" s="5">
        <f t="shared" si="40"/>
        <v>6.93550740212593</v>
      </c>
      <c r="M228" s="5">
        <f t="shared" si="40"/>
        <v>6.87199734698199</v>
      </c>
      <c r="N228" s="5">
        <f t="shared" si="40"/>
        <v>6.82615126898564</v>
      </c>
      <c r="O228" s="5">
        <f t="shared" si="40"/>
        <v>6.75893440143921</v>
      </c>
      <c r="P228" s="5">
        <f t="shared" si="40"/>
        <v>6.46856122439816</v>
      </c>
      <c r="Q228" s="5">
        <f t="shared" si="40"/>
        <v>6.02193809047695</v>
      </c>
      <c r="R228" s="5">
        <f t="shared" si="40"/>
        <v>5.22991594333396</v>
      </c>
      <c r="S228" s="5">
        <f t="shared" si="39"/>
        <v>4.85991543543754</v>
      </c>
      <c r="T228" s="5">
        <f t="shared" si="39"/>
        <v>4.43919340875234</v>
      </c>
      <c r="U228" s="5">
        <f t="shared" si="39"/>
        <v>3.39025990613999</v>
      </c>
      <c r="V228" s="5">
        <f t="shared" si="39"/>
        <v>3.27413856266849</v>
      </c>
      <c r="W228" s="5">
        <f t="shared" si="39"/>
        <v>2.56927771809935</v>
      </c>
      <c r="X228" s="5">
        <f t="shared" si="39"/>
        <v>2.2939084981665</v>
      </c>
      <c r="Y228" s="5">
        <f t="shared" si="39"/>
        <v>1.98611839255439</v>
      </c>
      <c r="Z228" s="5">
        <f t="shared" si="39"/>
        <v>1.84315151163598</v>
      </c>
      <c r="AA228" s="5">
        <f t="shared" si="38"/>
        <v>1.55216383537854</v>
      </c>
      <c r="AB228" s="5">
        <f t="shared" si="38"/>
        <v>1.08543614379477</v>
      </c>
      <c r="AC228" s="5">
        <f t="shared" si="38"/>
        <v>0.882133615644409</v>
      </c>
      <c r="AD228" s="5">
        <f t="shared" si="38"/>
        <v>0.849349457538552</v>
      </c>
      <c r="AE228" s="5">
        <f t="shared" si="38"/>
        <v>0.614775811725282</v>
      </c>
      <c r="AF228" s="5">
        <f t="shared" si="38"/>
        <v>0.604145047441687</v>
      </c>
      <c r="AG228" s="5">
        <f t="shared" si="38"/>
        <v>0.575462378689173</v>
      </c>
      <c r="AH228" s="5">
        <f t="shared" ref="AH228:AJ228" si="41">(($B228-$AJ$3)*((AH$3-$AJ$3)/($B$3-$AJ$3)))+$AJ$3</f>
        <v>0.389342355500179</v>
      </c>
      <c r="AI228" s="5">
        <f t="shared" si="41"/>
        <v>0.296788050389868</v>
      </c>
      <c r="AJ228" s="5">
        <f t="shared" si="41"/>
        <v>0.267636408002995</v>
      </c>
    </row>
    <row r="229" spans="1:36">
      <c r="A229" t="str">
        <f>"non-electricity_archetype_"&amp;TEXT(ROUND(Table3[[#This Row],[2016]],1),"0.0")</f>
        <v>non-electricity_archetype_7.5</v>
      </c>
      <c r="B229" s="5">
        <f t="shared" si="36"/>
        <v>7.5</v>
      </c>
      <c r="C229" s="5">
        <f t="shared" si="40"/>
        <v>7.5</v>
      </c>
      <c r="D229" s="5">
        <f t="shared" si="40"/>
        <v>7.5</v>
      </c>
      <c r="E229" s="5">
        <f t="shared" si="40"/>
        <v>7.5</v>
      </c>
      <c r="F229" s="5">
        <f t="shared" si="40"/>
        <v>7.5</v>
      </c>
      <c r="G229" s="5">
        <f t="shared" si="40"/>
        <v>7.33576922854515</v>
      </c>
      <c r="H229" s="5">
        <f t="shared" si="40"/>
        <v>7.42013083943487</v>
      </c>
      <c r="I229" s="5">
        <f t="shared" si="40"/>
        <v>7.39862937243367</v>
      </c>
      <c r="J229" s="5">
        <f t="shared" si="40"/>
        <v>7.35411569659929</v>
      </c>
      <c r="K229" s="5">
        <f t="shared" si="40"/>
        <v>7.32813988227199</v>
      </c>
      <c r="L229" s="5">
        <f t="shared" si="40"/>
        <v>6.844569863221</v>
      </c>
      <c r="M229" s="5">
        <f t="shared" si="40"/>
        <v>6.78192596882247</v>
      </c>
      <c r="N229" s="5">
        <f t="shared" si="40"/>
        <v>6.7367051472993</v>
      </c>
      <c r="O229" s="5">
        <f t="shared" si="40"/>
        <v>6.67040499462527</v>
      </c>
      <c r="P229" s="5">
        <f t="shared" si="40"/>
        <v>6.3839919754978</v>
      </c>
      <c r="Q229" s="5">
        <f t="shared" si="40"/>
        <v>5.94345996251348</v>
      </c>
      <c r="R229" s="5">
        <f t="shared" si="40"/>
        <v>5.16223954577033</v>
      </c>
      <c r="S229" s="5">
        <f t="shared" si="39"/>
        <v>4.79728516663245</v>
      </c>
      <c r="T229" s="5">
        <f t="shared" si="39"/>
        <v>4.38230101725525</v>
      </c>
      <c r="U229" s="5">
        <f t="shared" si="39"/>
        <v>3.34767304504181</v>
      </c>
      <c r="V229" s="5">
        <f t="shared" si="39"/>
        <v>3.23313538385795</v>
      </c>
      <c r="W229" s="5">
        <f t="shared" si="39"/>
        <v>2.53788754927837</v>
      </c>
      <c r="X229" s="5">
        <f t="shared" si="39"/>
        <v>2.2662738607847</v>
      </c>
      <c r="Y229" s="5">
        <f t="shared" si="39"/>
        <v>1.96268144806862</v>
      </c>
      <c r="Z229" s="5">
        <f t="shared" si="39"/>
        <v>1.82166437336378</v>
      </c>
      <c r="AA229" s="5">
        <f t="shared" ref="AA229:AJ281" si="42">(($B229-$AJ$3)*((AA$3-$AJ$3)/($B$3-$AJ$3)))+$AJ$3</f>
        <v>1.53464523566292</v>
      </c>
      <c r="AB229" s="5">
        <f t="shared" si="42"/>
        <v>1.07428285433318</v>
      </c>
      <c r="AC229" s="5">
        <f t="shared" si="42"/>
        <v>0.873753000036201</v>
      </c>
      <c r="AD229" s="5">
        <f t="shared" si="42"/>
        <v>0.841415957757247</v>
      </c>
      <c r="AE229" s="5">
        <f t="shared" si="42"/>
        <v>0.610041466525854</v>
      </c>
      <c r="AF229" s="5">
        <f t="shared" si="42"/>
        <v>0.599555686382097</v>
      </c>
      <c r="AG229" s="5">
        <f t="shared" si="42"/>
        <v>0.571264196659273</v>
      </c>
      <c r="AH229" s="5">
        <f t="shared" si="42"/>
        <v>0.387682509449582</v>
      </c>
      <c r="AI229" s="5">
        <f t="shared" si="42"/>
        <v>0.296390475419382</v>
      </c>
      <c r="AJ229" s="5">
        <f t="shared" si="42"/>
        <v>0.267636408002995</v>
      </c>
    </row>
    <row r="230" spans="1:36">
      <c r="A230" t="str">
        <f>"non-electricity_archetype_"&amp;TEXT(ROUND(Table3[[#This Row],[2016]],1),"0.0")</f>
        <v>non-electricity_archetype_7.4</v>
      </c>
      <c r="B230" s="5">
        <f t="shared" si="36"/>
        <v>7.4</v>
      </c>
      <c r="C230" s="5">
        <f t="shared" si="40"/>
        <v>7.4</v>
      </c>
      <c r="D230" s="5">
        <f t="shared" si="40"/>
        <v>7.4</v>
      </c>
      <c r="E230" s="5">
        <f t="shared" si="40"/>
        <v>7.4</v>
      </c>
      <c r="F230" s="5">
        <f t="shared" si="40"/>
        <v>7.4</v>
      </c>
      <c r="G230" s="5">
        <f t="shared" si="40"/>
        <v>7.2380400044729</v>
      </c>
      <c r="H230" s="5">
        <f t="shared" si="40"/>
        <v>7.32123516943086</v>
      </c>
      <c r="I230" s="5">
        <f t="shared" si="40"/>
        <v>7.30003099759088</v>
      </c>
      <c r="J230" s="5">
        <f t="shared" si="40"/>
        <v>7.25613280071118</v>
      </c>
      <c r="K230" s="5">
        <f t="shared" si="40"/>
        <v>7.23051614717546</v>
      </c>
      <c r="L230" s="5">
        <f t="shared" si="40"/>
        <v>6.75363232431608</v>
      </c>
      <c r="M230" s="5">
        <f t="shared" si="40"/>
        <v>6.69185459066294</v>
      </c>
      <c r="N230" s="5">
        <f t="shared" si="40"/>
        <v>6.64725902561296</v>
      </c>
      <c r="O230" s="5">
        <f t="shared" si="40"/>
        <v>6.58187558781134</v>
      </c>
      <c r="P230" s="5">
        <f t="shared" si="40"/>
        <v>6.29942272659744</v>
      </c>
      <c r="Q230" s="5">
        <f t="shared" si="40"/>
        <v>5.86498183455002</v>
      </c>
      <c r="R230" s="5">
        <f t="shared" si="40"/>
        <v>5.0945631482067</v>
      </c>
      <c r="S230" s="5">
        <f t="shared" si="39"/>
        <v>4.73465489782735</v>
      </c>
      <c r="T230" s="5">
        <f t="shared" si="39"/>
        <v>4.32540862575816</v>
      </c>
      <c r="U230" s="5">
        <f t="shared" si="39"/>
        <v>3.30508618394363</v>
      </c>
      <c r="V230" s="5">
        <f t="shared" si="39"/>
        <v>3.19213220504741</v>
      </c>
      <c r="W230" s="5">
        <f t="shared" si="39"/>
        <v>2.50649738045738</v>
      </c>
      <c r="X230" s="5">
        <f t="shared" si="39"/>
        <v>2.2386392234029</v>
      </c>
      <c r="Y230" s="5">
        <f t="shared" si="39"/>
        <v>1.93924450358284</v>
      </c>
      <c r="Z230" s="5">
        <f t="shared" si="39"/>
        <v>1.80017723509158</v>
      </c>
      <c r="AA230" s="5">
        <f t="shared" si="42"/>
        <v>1.51712663594731</v>
      </c>
      <c r="AB230" s="5">
        <f t="shared" si="42"/>
        <v>1.06312956487159</v>
      </c>
      <c r="AC230" s="5">
        <f t="shared" si="42"/>
        <v>0.865372384427994</v>
      </c>
      <c r="AD230" s="5">
        <f t="shared" si="42"/>
        <v>0.833482457975942</v>
      </c>
      <c r="AE230" s="5">
        <f t="shared" si="42"/>
        <v>0.605307121326427</v>
      </c>
      <c r="AF230" s="5">
        <f t="shared" si="42"/>
        <v>0.594966325322506</v>
      </c>
      <c r="AG230" s="5">
        <f t="shared" si="42"/>
        <v>0.567066014629372</v>
      </c>
      <c r="AH230" s="5">
        <f t="shared" si="42"/>
        <v>0.386022663398985</v>
      </c>
      <c r="AI230" s="5">
        <f t="shared" si="42"/>
        <v>0.295992900448895</v>
      </c>
      <c r="AJ230" s="5">
        <f t="shared" si="42"/>
        <v>0.267636408002995</v>
      </c>
    </row>
    <row r="231" spans="1:36">
      <c r="A231" t="str">
        <f>"non-electricity_archetype_"&amp;TEXT(ROUND(Table3[[#This Row],[2016]],1),"0.0")</f>
        <v>non-electricity_archetype_7.3</v>
      </c>
      <c r="B231" s="5">
        <f t="shared" si="36"/>
        <v>7.3</v>
      </c>
      <c r="C231" s="5">
        <f t="shared" si="40"/>
        <v>7.3</v>
      </c>
      <c r="D231" s="5">
        <f t="shared" si="40"/>
        <v>7.3</v>
      </c>
      <c r="E231" s="5">
        <f t="shared" si="40"/>
        <v>7.3</v>
      </c>
      <c r="F231" s="5">
        <f t="shared" si="40"/>
        <v>7.3</v>
      </c>
      <c r="G231" s="5">
        <f t="shared" si="40"/>
        <v>7.14031078040066</v>
      </c>
      <c r="H231" s="5">
        <f t="shared" si="40"/>
        <v>7.22233949942684</v>
      </c>
      <c r="I231" s="5">
        <f t="shared" si="40"/>
        <v>7.20143262274809</v>
      </c>
      <c r="J231" s="5">
        <f t="shared" si="40"/>
        <v>7.15814990482307</v>
      </c>
      <c r="K231" s="5">
        <f t="shared" si="40"/>
        <v>7.13289241207893</v>
      </c>
      <c r="L231" s="5">
        <f t="shared" si="40"/>
        <v>6.66269478541115</v>
      </c>
      <c r="M231" s="5">
        <f t="shared" si="40"/>
        <v>6.60178321250342</v>
      </c>
      <c r="N231" s="5">
        <f t="shared" si="40"/>
        <v>6.55781290392662</v>
      </c>
      <c r="O231" s="5">
        <f t="shared" si="40"/>
        <v>6.4933461809974</v>
      </c>
      <c r="P231" s="5">
        <f t="shared" si="40"/>
        <v>6.21485347769708</v>
      </c>
      <c r="Q231" s="5">
        <f t="shared" si="40"/>
        <v>5.78650370658655</v>
      </c>
      <c r="R231" s="5">
        <f t="shared" si="40"/>
        <v>5.02688675064307</v>
      </c>
      <c r="S231" s="5">
        <f t="shared" si="39"/>
        <v>4.67202462902226</v>
      </c>
      <c r="T231" s="5">
        <f t="shared" si="39"/>
        <v>4.26851623426106</v>
      </c>
      <c r="U231" s="5">
        <f t="shared" si="39"/>
        <v>3.26249932284546</v>
      </c>
      <c r="V231" s="5">
        <f t="shared" si="39"/>
        <v>3.15112902623687</v>
      </c>
      <c r="W231" s="5">
        <f t="shared" si="39"/>
        <v>2.47510721163639</v>
      </c>
      <c r="X231" s="5">
        <f t="shared" si="39"/>
        <v>2.2110045860211</v>
      </c>
      <c r="Y231" s="5">
        <f t="shared" si="39"/>
        <v>1.91580755909707</v>
      </c>
      <c r="Z231" s="5">
        <f t="shared" si="39"/>
        <v>1.77869009681938</v>
      </c>
      <c r="AA231" s="5">
        <f t="shared" si="42"/>
        <v>1.49960803623169</v>
      </c>
      <c r="AB231" s="5">
        <f t="shared" si="42"/>
        <v>1.05197627540999</v>
      </c>
      <c r="AC231" s="5">
        <f t="shared" si="42"/>
        <v>0.856991768819787</v>
      </c>
      <c r="AD231" s="5">
        <f t="shared" si="42"/>
        <v>0.825548958194637</v>
      </c>
      <c r="AE231" s="5">
        <f t="shared" si="42"/>
        <v>0.600572776126999</v>
      </c>
      <c r="AF231" s="5">
        <f t="shared" si="42"/>
        <v>0.590376964262916</v>
      </c>
      <c r="AG231" s="5">
        <f t="shared" si="42"/>
        <v>0.562867832599472</v>
      </c>
      <c r="AH231" s="5">
        <f t="shared" si="42"/>
        <v>0.384362817348388</v>
      </c>
      <c r="AI231" s="5">
        <f t="shared" si="42"/>
        <v>0.295595325478408</v>
      </c>
      <c r="AJ231" s="5">
        <f t="shared" si="42"/>
        <v>0.267636408002995</v>
      </c>
    </row>
    <row r="232" spans="1:36">
      <c r="A232" t="str">
        <f>"non-electricity_archetype_"&amp;TEXT(ROUND(Table3[[#This Row],[2016]],1),"0.0")</f>
        <v>non-electricity_archetype_7.2</v>
      </c>
      <c r="B232" s="5">
        <f t="shared" si="36"/>
        <v>7.2</v>
      </c>
      <c r="C232" s="5">
        <f t="shared" si="40"/>
        <v>7.2</v>
      </c>
      <c r="D232" s="5">
        <f t="shared" si="40"/>
        <v>7.2</v>
      </c>
      <c r="E232" s="5">
        <f t="shared" si="40"/>
        <v>7.2</v>
      </c>
      <c r="F232" s="5">
        <f t="shared" si="40"/>
        <v>7.2</v>
      </c>
      <c r="G232" s="5">
        <f t="shared" si="40"/>
        <v>7.04258155632842</v>
      </c>
      <c r="H232" s="5">
        <f t="shared" si="40"/>
        <v>7.12344382942283</v>
      </c>
      <c r="I232" s="5">
        <f t="shared" si="40"/>
        <v>7.1028342479053</v>
      </c>
      <c r="J232" s="5">
        <f t="shared" si="40"/>
        <v>7.06016700893495</v>
      </c>
      <c r="K232" s="5">
        <f t="shared" si="40"/>
        <v>7.0352686769824</v>
      </c>
      <c r="L232" s="5">
        <f t="shared" si="40"/>
        <v>6.57175724650623</v>
      </c>
      <c r="M232" s="5">
        <f t="shared" si="40"/>
        <v>6.51171183434389</v>
      </c>
      <c r="N232" s="5">
        <f t="shared" si="40"/>
        <v>6.46836678224028</v>
      </c>
      <c r="O232" s="5">
        <f t="shared" si="40"/>
        <v>6.40481677418346</v>
      </c>
      <c r="P232" s="5">
        <f t="shared" si="40"/>
        <v>6.13028422879673</v>
      </c>
      <c r="Q232" s="5">
        <f t="shared" si="40"/>
        <v>5.70802557862309</v>
      </c>
      <c r="R232" s="5">
        <f t="shared" si="40"/>
        <v>4.95921035307943</v>
      </c>
      <c r="S232" s="5">
        <f t="shared" si="39"/>
        <v>4.60939436021717</v>
      </c>
      <c r="T232" s="5">
        <f t="shared" si="39"/>
        <v>4.21162384276397</v>
      </c>
      <c r="U232" s="5">
        <f t="shared" si="39"/>
        <v>3.21991246174728</v>
      </c>
      <c r="V232" s="5">
        <f t="shared" si="39"/>
        <v>3.11012584742633</v>
      </c>
      <c r="W232" s="5">
        <f t="shared" si="39"/>
        <v>2.44371704281541</v>
      </c>
      <c r="X232" s="5">
        <f t="shared" si="39"/>
        <v>2.1833699486393</v>
      </c>
      <c r="Y232" s="5">
        <f t="shared" si="39"/>
        <v>1.8923706146113</v>
      </c>
      <c r="Z232" s="5">
        <f t="shared" si="39"/>
        <v>1.75720295854718</v>
      </c>
      <c r="AA232" s="5">
        <f t="shared" si="42"/>
        <v>1.48208943651608</v>
      </c>
      <c r="AB232" s="5">
        <f t="shared" si="42"/>
        <v>1.0408229859484</v>
      </c>
      <c r="AC232" s="5">
        <f t="shared" si="42"/>
        <v>0.848611153211579</v>
      </c>
      <c r="AD232" s="5">
        <f t="shared" si="42"/>
        <v>0.817615458413332</v>
      </c>
      <c r="AE232" s="5">
        <f t="shared" si="42"/>
        <v>0.595838430927571</v>
      </c>
      <c r="AF232" s="5">
        <f t="shared" si="42"/>
        <v>0.585787603203326</v>
      </c>
      <c r="AG232" s="5">
        <f t="shared" si="42"/>
        <v>0.558669650569572</v>
      </c>
      <c r="AH232" s="5">
        <f t="shared" si="42"/>
        <v>0.382702971297791</v>
      </c>
      <c r="AI232" s="5">
        <f t="shared" si="42"/>
        <v>0.295197750507921</v>
      </c>
      <c r="AJ232" s="5">
        <f t="shared" si="42"/>
        <v>0.267636408002995</v>
      </c>
    </row>
    <row r="233" spans="1:36">
      <c r="A233" t="str">
        <f>"non-electricity_archetype_"&amp;TEXT(ROUND(Table3[[#This Row],[2016]],1),"0.0")</f>
        <v>non-electricity_archetype_7.1</v>
      </c>
      <c r="B233" s="5">
        <f t="shared" si="36"/>
        <v>7.1</v>
      </c>
      <c r="C233" s="5">
        <f t="shared" si="40"/>
        <v>7.1</v>
      </c>
      <c r="D233" s="5">
        <f t="shared" si="40"/>
        <v>7.1</v>
      </c>
      <c r="E233" s="5">
        <f t="shared" si="40"/>
        <v>7.1</v>
      </c>
      <c r="F233" s="5">
        <f t="shared" si="40"/>
        <v>7.1</v>
      </c>
      <c r="G233" s="5">
        <f t="shared" si="40"/>
        <v>6.94485233225617</v>
      </c>
      <c r="H233" s="5">
        <f t="shared" si="40"/>
        <v>7.02454815941881</v>
      </c>
      <c r="I233" s="5">
        <f t="shared" si="40"/>
        <v>7.00423587306251</v>
      </c>
      <c r="J233" s="5">
        <f t="shared" si="40"/>
        <v>6.96218411304684</v>
      </c>
      <c r="K233" s="5">
        <f t="shared" si="40"/>
        <v>6.93764494188587</v>
      </c>
      <c r="L233" s="5">
        <f t="shared" si="40"/>
        <v>6.4808197076013</v>
      </c>
      <c r="M233" s="5">
        <f t="shared" si="40"/>
        <v>6.42164045618437</v>
      </c>
      <c r="N233" s="5">
        <f t="shared" si="40"/>
        <v>6.37892066055394</v>
      </c>
      <c r="O233" s="5">
        <f t="shared" si="40"/>
        <v>6.31628736736952</v>
      </c>
      <c r="P233" s="5">
        <f t="shared" si="40"/>
        <v>6.04571497989637</v>
      </c>
      <c r="Q233" s="5">
        <f t="shared" si="40"/>
        <v>5.62954745065962</v>
      </c>
      <c r="R233" s="5">
        <f t="shared" si="40"/>
        <v>4.8915339555158</v>
      </c>
      <c r="S233" s="5">
        <f t="shared" si="39"/>
        <v>4.54676409141207</v>
      </c>
      <c r="T233" s="5">
        <f t="shared" si="39"/>
        <v>4.15473145126687</v>
      </c>
      <c r="U233" s="5">
        <f t="shared" si="39"/>
        <v>3.17732560064911</v>
      </c>
      <c r="V233" s="5">
        <f t="shared" si="39"/>
        <v>3.06912266861579</v>
      </c>
      <c r="W233" s="5">
        <f t="shared" si="39"/>
        <v>2.41232687399442</v>
      </c>
      <c r="X233" s="5">
        <f t="shared" si="39"/>
        <v>2.1557353112575</v>
      </c>
      <c r="Y233" s="5">
        <f t="shared" si="39"/>
        <v>1.86893367012552</v>
      </c>
      <c r="Z233" s="5">
        <f t="shared" si="39"/>
        <v>1.73571582027497</v>
      </c>
      <c r="AA233" s="5">
        <f t="shared" si="42"/>
        <v>1.46457083680046</v>
      </c>
      <c r="AB233" s="5">
        <f t="shared" si="42"/>
        <v>1.02966969648681</v>
      </c>
      <c r="AC233" s="5">
        <f t="shared" si="42"/>
        <v>0.840230537603372</v>
      </c>
      <c r="AD233" s="5">
        <f t="shared" si="42"/>
        <v>0.809681958632028</v>
      </c>
      <c r="AE233" s="5">
        <f t="shared" si="42"/>
        <v>0.591104085728144</v>
      </c>
      <c r="AF233" s="5">
        <f t="shared" si="42"/>
        <v>0.581198242143735</v>
      </c>
      <c r="AG233" s="5">
        <f t="shared" si="42"/>
        <v>0.554471468539671</v>
      </c>
      <c r="AH233" s="5">
        <f t="shared" si="42"/>
        <v>0.381043125247194</v>
      </c>
      <c r="AI233" s="5">
        <f t="shared" si="42"/>
        <v>0.294800175537434</v>
      </c>
      <c r="AJ233" s="5">
        <f t="shared" si="42"/>
        <v>0.267636408002995</v>
      </c>
    </row>
    <row r="234" spans="1:36">
      <c r="A234" t="str">
        <f>"non-electricity_archetype_"&amp;TEXT(ROUND(Table3[[#This Row],[2016]],1),"0.0")</f>
        <v>non-electricity_archetype_7.0</v>
      </c>
      <c r="B234" s="5">
        <f t="shared" si="36"/>
        <v>7</v>
      </c>
      <c r="C234" s="5">
        <f t="shared" si="40"/>
        <v>7</v>
      </c>
      <c r="D234" s="5">
        <f t="shared" si="40"/>
        <v>7</v>
      </c>
      <c r="E234" s="5">
        <f t="shared" si="40"/>
        <v>7</v>
      </c>
      <c r="F234" s="5">
        <f t="shared" si="40"/>
        <v>7</v>
      </c>
      <c r="G234" s="5">
        <f t="shared" si="40"/>
        <v>6.84712310818393</v>
      </c>
      <c r="H234" s="5">
        <f t="shared" si="40"/>
        <v>6.9256524894148</v>
      </c>
      <c r="I234" s="5">
        <f t="shared" si="40"/>
        <v>6.90563749821972</v>
      </c>
      <c r="J234" s="5">
        <f t="shared" si="40"/>
        <v>6.86420121715872</v>
      </c>
      <c r="K234" s="5">
        <f t="shared" si="40"/>
        <v>6.84002120678934</v>
      </c>
      <c r="L234" s="5">
        <f t="shared" si="40"/>
        <v>6.38988216869637</v>
      </c>
      <c r="M234" s="5">
        <f t="shared" si="40"/>
        <v>6.33156907802484</v>
      </c>
      <c r="N234" s="5">
        <f t="shared" si="40"/>
        <v>6.28947453886759</v>
      </c>
      <c r="O234" s="5">
        <f t="shared" si="40"/>
        <v>6.22775796055558</v>
      </c>
      <c r="P234" s="5">
        <f t="shared" si="40"/>
        <v>5.96114573099601</v>
      </c>
      <c r="Q234" s="5">
        <f t="shared" si="40"/>
        <v>5.55106932269616</v>
      </c>
      <c r="R234" s="5">
        <f t="shared" si="40"/>
        <v>4.82385755795217</v>
      </c>
      <c r="S234" s="5">
        <f t="shared" si="39"/>
        <v>4.48413382260698</v>
      </c>
      <c r="T234" s="5">
        <f t="shared" si="39"/>
        <v>4.09783905976978</v>
      </c>
      <c r="U234" s="5">
        <f t="shared" si="39"/>
        <v>3.13473873955093</v>
      </c>
      <c r="V234" s="5">
        <f t="shared" si="39"/>
        <v>3.02811948980525</v>
      </c>
      <c r="W234" s="5">
        <f t="shared" si="39"/>
        <v>2.38093670517344</v>
      </c>
      <c r="X234" s="5">
        <f t="shared" si="39"/>
        <v>2.1281006738757</v>
      </c>
      <c r="Y234" s="5">
        <f t="shared" si="39"/>
        <v>1.84549672563975</v>
      </c>
      <c r="Z234" s="5">
        <f t="shared" si="39"/>
        <v>1.71422868200277</v>
      </c>
      <c r="AA234" s="5">
        <f t="shared" si="42"/>
        <v>1.44705223708484</v>
      </c>
      <c r="AB234" s="5">
        <f t="shared" si="42"/>
        <v>1.01851640702522</v>
      </c>
      <c r="AC234" s="5">
        <f t="shared" si="42"/>
        <v>0.831849921995164</v>
      </c>
      <c r="AD234" s="5">
        <f t="shared" si="42"/>
        <v>0.801748458850723</v>
      </c>
      <c r="AE234" s="5">
        <f t="shared" si="42"/>
        <v>0.586369740528716</v>
      </c>
      <c r="AF234" s="5">
        <f t="shared" si="42"/>
        <v>0.576608881084145</v>
      </c>
      <c r="AG234" s="5">
        <f t="shared" si="42"/>
        <v>0.550273286509771</v>
      </c>
      <c r="AH234" s="5">
        <f t="shared" si="42"/>
        <v>0.379383279196597</v>
      </c>
      <c r="AI234" s="5">
        <f t="shared" si="42"/>
        <v>0.294402600566947</v>
      </c>
      <c r="AJ234" s="5">
        <f t="shared" si="42"/>
        <v>0.267636408002995</v>
      </c>
    </row>
    <row r="235" spans="1:36">
      <c r="A235" t="str">
        <f>"non-electricity_archetype_"&amp;TEXT(ROUND(Table3[[#This Row],[2016]],1),"0.0")</f>
        <v>non-electricity_archetype_6.9</v>
      </c>
      <c r="B235" s="5">
        <f t="shared" si="36"/>
        <v>6.9</v>
      </c>
      <c r="C235" s="5">
        <f t="shared" si="40"/>
        <v>6.9</v>
      </c>
      <c r="D235" s="5">
        <f t="shared" si="40"/>
        <v>6.9</v>
      </c>
      <c r="E235" s="5">
        <f t="shared" si="40"/>
        <v>6.9</v>
      </c>
      <c r="F235" s="5">
        <f t="shared" si="40"/>
        <v>6.9</v>
      </c>
      <c r="G235" s="5">
        <f t="shared" si="40"/>
        <v>6.74939388411168</v>
      </c>
      <c r="H235" s="5">
        <f t="shared" si="40"/>
        <v>6.82675681941078</v>
      </c>
      <c r="I235" s="5">
        <f t="shared" si="40"/>
        <v>6.80703912337693</v>
      </c>
      <c r="J235" s="5">
        <f t="shared" si="40"/>
        <v>6.76621832127061</v>
      </c>
      <c r="K235" s="5">
        <f t="shared" si="40"/>
        <v>6.74239747169282</v>
      </c>
      <c r="L235" s="5">
        <f t="shared" si="40"/>
        <v>6.29894462979145</v>
      </c>
      <c r="M235" s="5">
        <f t="shared" si="40"/>
        <v>6.24149769986531</v>
      </c>
      <c r="N235" s="5">
        <f t="shared" si="40"/>
        <v>6.20002841718125</v>
      </c>
      <c r="O235" s="5">
        <f t="shared" si="40"/>
        <v>6.13922855374164</v>
      </c>
      <c r="P235" s="5">
        <f t="shared" si="40"/>
        <v>5.87657648209565</v>
      </c>
      <c r="Q235" s="5">
        <f t="shared" si="40"/>
        <v>5.47259119473269</v>
      </c>
      <c r="R235" s="5">
        <f t="shared" si="40"/>
        <v>4.75618116038853</v>
      </c>
      <c r="S235" s="5">
        <f t="shared" si="39"/>
        <v>4.42150355380189</v>
      </c>
      <c r="T235" s="5">
        <f t="shared" si="39"/>
        <v>4.04094666827268</v>
      </c>
      <c r="U235" s="5">
        <f t="shared" si="39"/>
        <v>3.09215187845275</v>
      </c>
      <c r="V235" s="5">
        <f t="shared" si="39"/>
        <v>2.98711631099471</v>
      </c>
      <c r="W235" s="5">
        <f t="shared" si="39"/>
        <v>2.34954653635245</v>
      </c>
      <c r="X235" s="5">
        <f t="shared" si="39"/>
        <v>2.1004660364939</v>
      </c>
      <c r="Y235" s="5">
        <f t="shared" si="39"/>
        <v>1.82205978115398</v>
      </c>
      <c r="Z235" s="5">
        <f t="shared" si="39"/>
        <v>1.69274154373057</v>
      </c>
      <c r="AA235" s="5">
        <f t="shared" si="42"/>
        <v>1.42953363736923</v>
      </c>
      <c r="AB235" s="5">
        <f t="shared" si="42"/>
        <v>1.00736311756363</v>
      </c>
      <c r="AC235" s="5">
        <f t="shared" si="42"/>
        <v>0.823469306386957</v>
      </c>
      <c r="AD235" s="5">
        <f t="shared" si="42"/>
        <v>0.793814959069418</v>
      </c>
      <c r="AE235" s="5">
        <f t="shared" si="42"/>
        <v>0.581635395329289</v>
      </c>
      <c r="AF235" s="5">
        <f t="shared" si="42"/>
        <v>0.572019520024555</v>
      </c>
      <c r="AG235" s="5">
        <f t="shared" si="42"/>
        <v>0.54607510447987</v>
      </c>
      <c r="AH235" s="5">
        <f t="shared" si="42"/>
        <v>0.377723433145999</v>
      </c>
      <c r="AI235" s="5">
        <f t="shared" si="42"/>
        <v>0.29400502559646</v>
      </c>
      <c r="AJ235" s="5">
        <f t="shared" si="42"/>
        <v>0.267636408002995</v>
      </c>
    </row>
    <row r="236" spans="1:36">
      <c r="A236" t="str">
        <f>"non-electricity_archetype_"&amp;TEXT(ROUND(Table3[[#This Row],[2016]],1),"0.0")</f>
        <v>non-electricity_archetype_6.8</v>
      </c>
      <c r="B236" s="5">
        <f t="shared" si="36"/>
        <v>6.8</v>
      </c>
      <c r="C236" s="5">
        <f t="shared" si="40"/>
        <v>6.8</v>
      </c>
      <c r="D236" s="5">
        <f t="shared" si="40"/>
        <v>6.8</v>
      </c>
      <c r="E236" s="5">
        <f t="shared" si="40"/>
        <v>6.8</v>
      </c>
      <c r="F236" s="5">
        <f t="shared" si="40"/>
        <v>6.8</v>
      </c>
      <c r="G236" s="5">
        <f t="shared" si="40"/>
        <v>6.65166466003944</v>
      </c>
      <c r="H236" s="5">
        <f t="shared" si="40"/>
        <v>6.72786114940677</v>
      </c>
      <c r="I236" s="5">
        <f t="shared" si="40"/>
        <v>6.70844074853414</v>
      </c>
      <c r="J236" s="5">
        <f t="shared" si="40"/>
        <v>6.6682354253825</v>
      </c>
      <c r="K236" s="5">
        <f t="shared" si="40"/>
        <v>6.64477373659629</v>
      </c>
      <c r="L236" s="5">
        <f t="shared" si="40"/>
        <v>6.20800709088652</v>
      </c>
      <c r="M236" s="5">
        <f t="shared" si="40"/>
        <v>6.15142632170579</v>
      </c>
      <c r="N236" s="5">
        <f t="shared" si="40"/>
        <v>6.11058229549491</v>
      </c>
      <c r="O236" s="5">
        <f t="shared" si="40"/>
        <v>6.0506991469277</v>
      </c>
      <c r="P236" s="5">
        <f t="shared" si="40"/>
        <v>5.79200723319529</v>
      </c>
      <c r="Q236" s="5">
        <f t="shared" si="40"/>
        <v>5.39411306676923</v>
      </c>
      <c r="R236" s="5">
        <f t="shared" si="40"/>
        <v>4.6885047628249</v>
      </c>
      <c r="S236" s="5">
        <f t="shared" si="39"/>
        <v>4.35887328499679</v>
      </c>
      <c r="T236" s="5">
        <f t="shared" si="39"/>
        <v>3.98405427677559</v>
      </c>
      <c r="U236" s="5">
        <f t="shared" si="39"/>
        <v>3.04956501735458</v>
      </c>
      <c r="V236" s="5">
        <f t="shared" si="39"/>
        <v>2.94611313218417</v>
      </c>
      <c r="W236" s="5">
        <f t="shared" si="39"/>
        <v>2.31815636753147</v>
      </c>
      <c r="X236" s="5">
        <f t="shared" si="39"/>
        <v>2.0728313991121</v>
      </c>
      <c r="Y236" s="5">
        <f t="shared" si="39"/>
        <v>1.7986228366682</v>
      </c>
      <c r="Z236" s="5">
        <f t="shared" si="39"/>
        <v>1.67125440545837</v>
      </c>
      <c r="AA236" s="5">
        <f t="shared" si="42"/>
        <v>1.41201503765361</v>
      </c>
      <c r="AB236" s="5">
        <f t="shared" si="42"/>
        <v>0.996209828102037</v>
      </c>
      <c r="AC236" s="5">
        <f t="shared" si="42"/>
        <v>0.81508869077875</v>
      </c>
      <c r="AD236" s="5">
        <f t="shared" si="42"/>
        <v>0.785881459288113</v>
      </c>
      <c r="AE236" s="5">
        <f t="shared" si="42"/>
        <v>0.576901050129861</v>
      </c>
      <c r="AF236" s="5">
        <f t="shared" si="42"/>
        <v>0.567430158964964</v>
      </c>
      <c r="AG236" s="5">
        <f t="shared" si="42"/>
        <v>0.54187692244997</v>
      </c>
      <c r="AH236" s="5">
        <f t="shared" si="42"/>
        <v>0.376063587095402</v>
      </c>
      <c r="AI236" s="5">
        <f t="shared" si="42"/>
        <v>0.293607450625973</v>
      </c>
      <c r="AJ236" s="5">
        <f t="shared" si="42"/>
        <v>0.267636408002995</v>
      </c>
    </row>
    <row r="237" spans="1:36">
      <c r="A237" t="str">
        <f>"non-electricity_archetype_"&amp;TEXT(ROUND(Table3[[#This Row],[2016]],1),"0.0")</f>
        <v>non-electricity_archetype_6.7</v>
      </c>
      <c r="B237" s="5">
        <f t="shared" si="36"/>
        <v>6.7</v>
      </c>
      <c r="C237" s="5">
        <f t="shared" si="40"/>
        <v>6.7</v>
      </c>
      <c r="D237" s="5">
        <f t="shared" si="40"/>
        <v>6.7</v>
      </c>
      <c r="E237" s="5">
        <f t="shared" si="40"/>
        <v>6.7</v>
      </c>
      <c r="F237" s="5">
        <f t="shared" si="40"/>
        <v>6.7</v>
      </c>
      <c r="G237" s="5">
        <f t="shared" si="40"/>
        <v>6.5539354359672</v>
      </c>
      <c r="H237" s="5">
        <f t="shared" si="40"/>
        <v>6.62896547940275</v>
      </c>
      <c r="I237" s="5">
        <f t="shared" si="40"/>
        <v>6.60984237369135</v>
      </c>
      <c r="J237" s="5">
        <f t="shared" si="40"/>
        <v>6.57025252949438</v>
      </c>
      <c r="K237" s="5">
        <f t="shared" si="40"/>
        <v>6.54715000149976</v>
      </c>
      <c r="L237" s="5">
        <f t="shared" si="40"/>
        <v>6.11706955198159</v>
      </c>
      <c r="M237" s="5">
        <f t="shared" si="40"/>
        <v>6.06135494354626</v>
      </c>
      <c r="N237" s="5">
        <f t="shared" si="40"/>
        <v>6.02113617380857</v>
      </c>
      <c r="O237" s="5">
        <f t="shared" si="40"/>
        <v>5.96216974011376</v>
      </c>
      <c r="P237" s="5">
        <f t="shared" si="40"/>
        <v>5.70743798429494</v>
      </c>
      <c r="Q237" s="5">
        <f t="shared" si="40"/>
        <v>5.31563493880576</v>
      </c>
      <c r="R237" s="5">
        <f t="shared" si="40"/>
        <v>4.62082836526127</v>
      </c>
      <c r="S237" s="5">
        <f t="shared" si="39"/>
        <v>4.2962430161917</v>
      </c>
      <c r="T237" s="5">
        <f t="shared" si="39"/>
        <v>3.9271618852785</v>
      </c>
      <c r="U237" s="5">
        <f t="shared" si="39"/>
        <v>3.0069781562564</v>
      </c>
      <c r="V237" s="5">
        <f t="shared" si="39"/>
        <v>2.90510995337363</v>
      </c>
      <c r="W237" s="5">
        <f t="shared" si="39"/>
        <v>2.28676619871048</v>
      </c>
      <c r="X237" s="5">
        <f t="shared" si="39"/>
        <v>2.0451967617303</v>
      </c>
      <c r="Y237" s="5">
        <f t="shared" si="39"/>
        <v>1.77518589218243</v>
      </c>
      <c r="Z237" s="5">
        <f t="shared" si="39"/>
        <v>1.64976726718617</v>
      </c>
      <c r="AA237" s="5">
        <f t="shared" si="42"/>
        <v>1.39449643793799</v>
      </c>
      <c r="AB237" s="5">
        <f t="shared" si="42"/>
        <v>0.985056538640445</v>
      </c>
      <c r="AC237" s="5">
        <f t="shared" si="42"/>
        <v>0.806708075170543</v>
      </c>
      <c r="AD237" s="5">
        <f t="shared" si="42"/>
        <v>0.777947959506808</v>
      </c>
      <c r="AE237" s="5">
        <f t="shared" si="42"/>
        <v>0.572166704930433</v>
      </c>
      <c r="AF237" s="5">
        <f t="shared" si="42"/>
        <v>0.562840797905374</v>
      </c>
      <c r="AG237" s="5">
        <f t="shared" si="42"/>
        <v>0.53767874042007</v>
      </c>
      <c r="AH237" s="5">
        <f t="shared" si="42"/>
        <v>0.374403741044805</v>
      </c>
      <c r="AI237" s="5">
        <f t="shared" si="42"/>
        <v>0.293209875655486</v>
      </c>
      <c r="AJ237" s="5">
        <f t="shared" si="42"/>
        <v>0.267636408002995</v>
      </c>
    </row>
    <row r="238" spans="1:36">
      <c r="A238" t="str">
        <f>"non-electricity_archetype_"&amp;TEXT(ROUND(Table3[[#This Row],[2016]],1),"0.0")</f>
        <v>non-electricity_archetype_6.6</v>
      </c>
      <c r="B238" s="5">
        <f t="shared" si="36"/>
        <v>6.6</v>
      </c>
      <c r="C238" s="5">
        <f t="shared" si="40"/>
        <v>6.6</v>
      </c>
      <c r="D238" s="5">
        <f t="shared" si="40"/>
        <v>6.6</v>
      </c>
      <c r="E238" s="5">
        <f t="shared" si="40"/>
        <v>6.6</v>
      </c>
      <c r="F238" s="5">
        <f t="shared" si="40"/>
        <v>6.6</v>
      </c>
      <c r="G238" s="5">
        <f t="shared" si="40"/>
        <v>6.45620621189495</v>
      </c>
      <c r="H238" s="5">
        <f t="shared" si="40"/>
        <v>6.53006980939874</v>
      </c>
      <c r="I238" s="5">
        <f t="shared" si="40"/>
        <v>6.51124399884856</v>
      </c>
      <c r="J238" s="5">
        <f t="shared" si="40"/>
        <v>6.47226963360627</v>
      </c>
      <c r="K238" s="5">
        <f t="shared" si="40"/>
        <v>6.44952626640323</v>
      </c>
      <c r="L238" s="5">
        <f t="shared" si="40"/>
        <v>6.02613201307667</v>
      </c>
      <c r="M238" s="5">
        <f t="shared" si="40"/>
        <v>5.97128356538674</v>
      </c>
      <c r="N238" s="5">
        <f t="shared" si="40"/>
        <v>5.93169005212223</v>
      </c>
      <c r="O238" s="5">
        <f t="shared" si="40"/>
        <v>5.87364033329982</v>
      </c>
      <c r="P238" s="5">
        <f t="shared" si="40"/>
        <v>5.62286873539458</v>
      </c>
      <c r="Q238" s="5">
        <f t="shared" si="40"/>
        <v>5.2371568108423</v>
      </c>
      <c r="R238" s="5">
        <f t="shared" si="40"/>
        <v>4.55315196769764</v>
      </c>
      <c r="S238" s="5">
        <f t="shared" si="39"/>
        <v>4.2336127473866</v>
      </c>
      <c r="T238" s="5">
        <f t="shared" si="39"/>
        <v>3.8702694937814</v>
      </c>
      <c r="U238" s="5">
        <f t="shared" si="39"/>
        <v>2.96439129515823</v>
      </c>
      <c r="V238" s="5">
        <f t="shared" si="39"/>
        <v>2.86410677456309</v>
      </c>
      <c r="W238" s="5">
        <f t="shared" si="39"/>
        <v>2.25537602988949</v>
      </c>
      <c r="X238" s="5">
        <f t="shared" si="39"/>
        <v>2.0175621243485</v>
      </c>
      <c r="Y238" s="5">
        <f t="shared" si="39"/>
        <v>1.75174894769666</v>
      </c>
      <c r="Z238" s="5">
        <f t="shared" si="39"/>
        <v>1.62828012891397</v>
      </c>
      <c r="AA238" s="5">
        <f t="shared" si="42"/>
        <v>1.37697783822238</v>
      </c>
      <c r="AB238" s="5">
        <f t="shared" si="42"/>
        <v>0.973903249178854</v>
      </c>
      <c r="AC238" s="5">
        <f t="shared" si="42"/>
        <v>0.798327459562335</v>
      </c>
      <c r="AD238" s="5">
        <f t="shared" si="42"/>
        <v>0.770014459725504</v>
      </c>
      <c r="AE238" s="5">
        <f t="shared" si="42"/>
        <v>0.567432359731006</v>
      </c>
      <c r="AF238" s="5">
        <f t="shared" si="42"/>
        <v>0.558251436845784</v>
      </c>
      <c r="AG238" s="5">
        <f t="shared" si="42"/>
        <v>0.533480558390169</v>
      </c>
      <c r="AH238" s="5">
        <f t="shared" si="42"/>
        <v>0.372743894994208</v>
      </c>
      <c r="AI238" s="5">
        <f t="shared" si="42"/>
        <v>0.292812300684999</v>
      </c>
      <c r="AJ238" s="5">
        <f t="shared" si="42"/>
        <v>0.267636408002995</v>
      </c>
    </row>
    <row r="239" spans="1:36">
      <c r="A239" t="str">
        <f>"non-electricity_archetype_"&amp;TEXT(ROUND(Table3[[#This Row],[2016]],1),"0.0")</f>
        <v>non-electricity_archetype_6.5</v>
      </c>
      <c r="B239" s="5">
        <f t="shared" si="36"/>
        <v>6.5</v>
      </c>
      <c r="C239" s="5">
        <f t="shared" si="40"/>
        <v>6.5</v>
      </c>
      <c r="D239" s="5">
        <f t="shared" si="40"/>
        <v>6.5</v>
      </c>
      <c r="E239" s="5">
        <f t="shared" si="40"/>
        <v>6.5</v>
      </c>
      <c r="F239" s="5">
        <f t="shared" si="40"/>
        <v>6.5</v>
      </c>
      <c r="G239" s="5">
        <f t="shared" si="40"/>
        <v>6.35847698782271</v>
      </c>
      <c r="H239" s="5">
        <f t="shared" si="40"/>
        <v>6.43117413939472</v>
      </c>
      <c r="I239" s="5">
        <f t="shared" si="40"/>
        <v>6.41264562400577</v>
      </c>
      <c r="J239" s="5">
        <f t="shared" si="40"/>
        <v>6.37428673771815</v>
      </c>
      <c r="K239" s="5">
        <f t="shared" si="40"/>
        <v>6.3519025313067</v>
      </c>
      <c r="L239" s="5">
        <f t="shared" si="40"/>
        <v>5.93519447417174</v>
      </c>
      <c r="M239" s="5">
        <f t="shared" si="40"/>
        <v>5.88121218722721</v>
      </c>
      <c r="N239" s="5">
        <f t="shared" si="40"/>
        <v>5.84224393043589</v>
      </c>
      <c r="O239" s="5">
        <f t="shared" si="40"/>
        <v>5.78511092648588</v>
      </c>
      <c r="P239" s="5">
        <f t="shared" si="40"/>
        <v>5.53829948649422</v>
      </c>
      <c r="Q239" s="5">
        <f t="shared" si="40"/>
        <v>5.15867868287883</v>
      </c>
      <c r="R239" s="5">
        <f t="shared" si="40"/>
        <v>4.485475570134</v>
      </c>
      <c r="S239" s="5">
        <f t="shared" si="39"/>
        <v>4.17098247858151</v>
      </c>
      <c r="T239" s="5">
        <f t="shared" si="39"/>
        <v>3.81337710228431</v>
      </c>
      <c r="U239" s="5">
        <f t="shared" si="39"/>
        <v>2.92180443406005</v>
      </c>
      <c r="V239" s="5">
        <f t="shared" si="39"/>
        <v>2.82310359575255</v>
      </c>
      <c r="W239" s="5">
        <f t="shared" si="39"/>
        <v>2.22398586106851</v>
      </c>
      <c r="X239" s="5">
        <f t="shared" si="39"/>
        <v>1.9899274869667</v>
      </c>
      <c r="Y239" s="5">
        <f t="shared" si="39"/>
        <v>1.72831200321088</v>
      </c>
      <c r="Z239" s="5">
        <f t="shared" si="39"/>
        <v>1.60679299064176</v>
      </c>
      <c r="AA239" s="5">
        <f t="shared" si="42"/>
        <v>1.35945923850676</v>
      </c>
      <c r="AB239" s="5">
        <f t="shared" si="42"/>
        <v>0.962749959717262</v>
      </c>
      <c r="AC239" s="5">
        <f t="shared" si="42"/>
        <v>0.789946843954128</v>
      </c>
      <c r="AD239" s="5">
        <f t="shared" si="42"/>
        <v>0.762080959944199</v>
      </c>
      <c r="AE239" s="5">
        <f t="shared" si="42"/>
        <v>0.562698014531578</v>
      </c>
      <c r="AF239" s="5">
        <f t="shared" si="42"/>
        <v>0.553662075786193</v>
      </c>
      <c r="AG239" s="5">
        <f t="shared" si="42"/>
        <v>0.529282376360269</v>
      </c>
      <c r="AH239" s="5">
        <f t="shared" si="42"/>
        <v>0.371084048943611</v>
      </c>
      <c r="AI239" s="5">
        <f t="shared" si="42"/>
        <v>0.292414725714513</v>
      </c>
      <c r="AJ239" s="5">
        <f t="shared" si="42"/>
        <v>0.267636408002995</v>
      </c>
    </row>
    <row r="240" spans="1:36">
      <c r="A240" t="str">
        <f>"non-electricity_archetype_"&amp;TEXT(ROUND(Table3[[#This Row],[2016]],1),"0.0")</f>
        <v>non-electricity_archetype_6.4</v>
      </c>
      <c r="B240" s="5">
        <f t="shared" si="36"/>
        <v>6.4</v>
      </c>
      <c r="C240" s="5">
        <f t="shared" si="40"/>
        <v>6.4</v>
      </c>
      <c r="D240" s="5">
        <f t="shared" si="40"/>
        <v>6.4</v>
      </c>
      <c r="E240" s="5">
        <f t="shared" si="40"/>
        <v>6.4</v>
      </c>
      <c r="F240" s="5">
        <f t="shared" si="40"/>
        <v>6.4</v>
      </c>
      <c r="G240" s="5">
        <f t="shared" si="40"/>
        <v>6.26074776375046</v>
      </c>
      <c r="H240" s="5">
        <f t="shared" si="40"/>
        <v>6.33227846939071</v>
      </c>
      <c r="I240" s="5">
        <f t="shared" si="40"/>
        <v>6.31404724916298</v>
      </c>
      <c r="J240" s="5">
        <f t="shared" si="40"/>
        <v>6.27630384183004</v>
      </c>
      <c r="K240" s="5">
        <f t="shared" si="40"/>
        <v>6.25427879621017</v>
      </c>
      <c r="L240" s="5">
        <f t="shared" si="40"/>
        <v>5.84425693526681</v>
      </c>
      <c r="M240" s="5">
        <f t="shared" si="40"/>
        <v>5.79114080906769</v>
      </c>
      <c r="N240" s="5">
        <f t="shared" si="40"/>
        <v>5.75279780874954</v>
      </c>
      <c r="O240" s="5">
        <f t="shared" si="40"/>
        <v>5.69658151967194</v>
      </c>
      <c r="P240" s="5">
        <f t="shared" si="40"/>
        <v>5.45373023759386</v>
      </c>
      <c r="Q240" s="5">
        <f t="shared" si="40"/>
        <v>5.08020055491537</v>
      </c>
      <c r="R240" s="5">
        <f t="shared" si="40"/>
        <v>4.41779917257037</v>
      </c>
      <c r="S240" s="5">
        <f t="shared" si="39"/>
        <v>4.10835220977642</v>
      </c>
      <c r="T240" s="5">
        <f t="shared" si="39"/>
        <v>3.75648471078721</v>
      </c>
      <c r="U240" s="5">
        <f t="shared" si="39"/>
        <v>2.87921757296187</v>
      </c>
      <c r="V240" s="5">
        <f t="shared" si="39"/>
        <v>2.78210041694201</v>
      </c>
      <c r="W240" s="5">
        <f t="shared" si="39"/>
        <v>2.19259569224752</v>
      </c>
      <c r="X240" s="5">
        <f t="shared" si="39"/>
        <v>1.9622928495849</v>
      </c>
      <c r="Y240" s="5">
        <f t="shared" si="39"/>
        <v>1.70487505872511</v>
      </c>
      <c r="Z240" s="5">
        <f t="shared" si="39"/>
        <v>1.58530585236956</v>
      </c>
      <c r="AA240" s="5">
        <f t="shared" si="42"/>
        <v>1.34194063879114</v>
      </c>
      <c r="AB240" s="5">
        <f t="shared" si="42"/>
        <v>0.951596670255671</v>
      </c>
      <c r="AC240" s="5">
        <f t="shared" si="42"/>
        <v>0.78156622834592</v>
      </c>
      <c r="AD240" s="5">
        <f t="shared" si="42"/>
        <v>0.754147460162894</v>
      </c>
      <c r="AE240" s="5">
        <f t="shared" si="42"/>
        <v>0.557963669332151</v>
      </c>
      <c r="AF240" s="5">
        <f t="shared" si="42"/>
        <v>0.549072714726603</v>
      </c>
      <c r="AG240" s="5">
        <f t="shared" si="42"/>
        <v>0.525084194330368</v>
      </c>
      <c r="AH240" s="5">
        <f t="shared" si="42"/>
        <v>0.369424202893014</v>
      </c>
      <c r="AI240" s="5">
        <f t="shared" si="42"/>
        <v>0.292017150744026</v>
      </c>
      <c r="AJ240" s="5">
        <f t="shared" si="42"/>
        <v>0.267636408002995</v>
      </c>
    </row>
    <row r="241" spans="1:36">
      <c r="A241" t="str">
        <f>"non-electricity_archetype_"&amp;TEXT(ROUND(Table3[[#This Row],[2016]],1),"0.0")</f>
        <v>non-electricity_archetype_6.3</v>
      </c>
      <c r="B241" s="5">
        <f t="shared" si="36"/>
        <v>6.3</v>
      </c>
      <c r="C241" s="5">
        <f t="shared" si="40"/>
        <v>6.3</v>
      </c>
      <c r="D241" s="5">
        <f t="shared" si="40"/>
        <v>6.3</v>
      </c>
      <c r="E241" s="5">
        <f t="shared" si="40"/>
        <v>6.3</v>
      </c>
      <c r="F241" s="5">
        <f t="shared" si="40"/>
        <v>6.3</v>
      </c>
      <c r="G241" s="5">
        <f t="shared" si="40"/>
        <v>6.16301853967822</v>
      </c>
      <c r="H241" s="5">
        <f t="shared" si="40"/>
        <v>6.2333827993867</v>
      </c>
      <c r="I241" s="5">
        <f t="shared" si="40"/>
        <v>6.21544887432019</v>
      </c>
      <c r="J241" s="5">
        <f t="shared" si="40"/>
        <v>6.17832094594193</v>
      </c>
      <c r="K241" s="5">
        <f t="shared" si="40"/>
        <v>6.15665506111364</v>
      </c>
      <c r="L241" s="5">
        <f t="shared" si="40"/>
        <v>5.75331939636189</v>
      </c>
      <c r="M241" s="5">
        <f t="shared" si="40"/>
        <v>5.70106943090816</v>
      </c>
      <c r="N241" s="5">
        <f t="shared" si="40"/>
        <v>5.6633516870632</v>
      </c>
      <c r="O241" s="5">
        <f t="shared" si="40"/>
        <v>5.608052112858</v>
      </c>
      <c r="P241" s="5">
        <f t="shared" si="40"/>
        <v>5.36916098869351</v>
      </c>
      <c r="Q241" s="5">
        <f t="shared" si="40"/>
        <v>5.0017224269519</v>
      </c>
      <c r="R241" s="5">
        <f t="shared" si="40"/>
        <v>4.35012277500674</v>
      </c>
      <c r="S241" s="5">
        <f t="shared" si="39"/>
        <v>4.04572194097132</v>
      </c>
      <c r="T241" s="5">
        <f t="shared" si="39"/>
        <v>3.69959231929012</v>
      </c>
      <c r="U241" s="5">
        <f t="shared" si="39"/>
        <v>2.8366307118637</v>
      </c>
      <c r="V241" s="5">
        <f t="shared" si="39"/>
        <v>2.74109723813147</v>
      </c>
      <c r="W241" s="5">
        <f t="shared" si="39"/>
        <v>2.16120552342654</v>
      </c>
      <c r="X241" s="5">
        <f t="shared" si="39"/>
        <v>1.9346582122031</v>
      </c>
      <c r="Y241" s="5">
        <f t="shared" si="39"/>
        <v>1.68143811423934</v>
      </c>
      <c r="Z241" s="5">
        <f t="shared" si="39"/>
        <v>1.56381871409736</v>
      </c>
      <c r="AA241" s="5">
        <f t="shared" si="42"/>
        <v>1.32442203907553</v>
      </c>
      <c r="AB241" s="5">
        <f t="shared" si="42"/>
        <v>0.940443380794079</v>
      </c>
      <c r="AC241" s="5">
        <f t="shared" si="42"/>
        <v>0.773185612737713</v>
      </c>
      <c r="AD241" s="5">
        <f t="shared" si="42"/>
        <v>0.746213960381589</v>
      </c>
      <c r="AE241" s="5">
        <f t="shared" si="42"/>
        <v>0.553229324132723</v>
      </c>
      <c r="AF241" s="5">
        <f t="shared" si="42"/>
        <v>0.544483353667012</v>
      </c>
      <c r="AG241" s="5">
        <f t="shared" si="42"/>
        <v>0.520886012300468</v>
      </c>
      <c r="AH241" s="5">
        <f t="shared" si="42"/>
        <v>0.367764356842417</v>
      </c>
      <c r="AI241" s="5">
        <f t="shared" si="42"/>
        <v>0.291619575773539</v>
      </c>
      <c r="AJ241" s="5">
        <f t="shared" si="42"/>
        <v>0.267636408002995</v>
      </c>
    </row>
    <row r="242" spans="1:36">
      <c r="A242" t="str">
        <f>"non-electricity_archetype_"&amp;TEXT(ROUND(Table3[[#This Row],[2016]],1),"0.0")</f>
        <v>non-electricity_archetype_6.2</v>
      </c>
      <c r="B242" s="5">
        <f t="shared" si="36"/>
        <v>6.2</v>
      </c>
      <c r="C242" s="5">
        <f t="shared" si="40"/>
        <v>6.2</v>
      </c>
      <c r="D242" s="5">
        <f t="shared" si="40"/>
        <v>6.2</v>
      </c>
      <c r="E242" s="5">
        <f t="shared" si="40"/>
        <v>6.2</v>
      </c>
      <c r="F242" s="5">
        <f t="shared" si="40"/>
        <v>6.2</v>
      </c>
      <c r="G242" s="5">
        <f t="shared" si="40"/>
        <v>6.06528931560598</v>
      </c>
      <c r="H242" s="5">
        <f t="shared" si="40"/>
        <v>6.13448712938268</v>
      </c>
      <c r="I242" s="5">
        <f t="shared" si="40"/>
        <v>6.1168504994774</v>
      </c>
      <c r="J242" s="5">
        <f t="shared" si="40"/>
        <v>6.08033805005381</v>
      </c>
      <c r="K242" s="5">
        <f t="shared" si="40"/>
        <v>6.05903132601711</v>
      </c>
      <c r="L242" s="5">
        <f t="shared" si="40"/>
        <v>5.66238185745696</v>
      </c>
      <c r="M242" s="5">
        <f t="shared" si="40"/>
        <v>5.61099805274864</v>
      </c>
      <c r="N242" s="5">
        <f t="shared" si="40"/>
        <v>5.57390556537686</v>
      </c>
      <c r="O242" s="5">
        <f t="shared" si="40"/>
        <v>5.51952270604406</v>
      </c>
      <c r="P242" s="5">
        <f t="shared" si="40"/>
        <v>5.28459173979315</v>
      </c>
      <c r="Q242" s="5">
        <f t="shared" si="40"/>
        <v>4.92324429898843</v>
      </c>
      <c r="R242" s="5">
        <f t="shared" si="40"/>
        <v>4.2824463774431</v>
      </c>
      <c r="S242" s="5">
        <f t="shared" si="39"/>
        <v>3.98309167216623</v>
      </c>
      <c r="T242" s="5">
        <f t="shared" si="39"/>
        <v>3.64269992779302</v>
      </c>
      <c r="U242" s="5">
        <f t="shared" si="39"/>
        <v>2.79404385076552</v>
      </c>
      <c r="V242" s="5">
        <f t="shared" si="39"/>
        <v>2.70009405932093</v>
      </c>
      <c r="W242" s="5">
        <f t="shared" si="39"/>
        <v>2.12981535460555</v>
      </c>
      <c r="X242" s="5">
        <f t="shared" si="39"/>
        <v>1.9070235748213</v>
      </c>
      <c r="Y242" s="5">
        <f t="shared" si="39"/>
        <v>1.65800116975356</v>
      </c>
      <c r="Z242" s="5">
        <f t="shared" si="39"/>
        <v>1.54233157582516</v>
      </c>
      <c r="AA242" s="5">
        <f t="shared" si="42"/>
        <v>1.30690343935991</v>
      </c>
      <c r="AB242" s="5">
        <f t="shared" si="42"/>
        <v>0.929290091332488</v>
      </c>
      <c r="AC242" s="5">
        <f t="shared" si="42"/>
        <v>0.764804997129506</v>
      </c>
      <c r="AD242" s="5">
        <f t="shared" si="42"/>
        <v>0.738280460600284</v>
      </c>
      <c r="AE242" s="5">
        <f t="shared" si="42"/>
        <v>0.548494978933295</v>
      </c>
      <c r="AF242" s="5">
        <f t="shared" si="42"/>
        <v>0.539893992607422</v>
      </c>
      <c r="AG242" s="5">
        <f t="shared" si="42"/>
        <v>0.516687830270568</v>
      </c>
      <c r="AH242" s="5">
        <f t="shared" si="42"/>
        <v>0.366104510791819</v>
      </c>
      <c r="AI242" s="5">
        <f t="shared" si="42"/>
        <v>0.291222000803052</v>
      </c>
      <c r="AJ242" s="5">
        <f t="shared" si="42"/>
        <v>0.267636408002995</v>
      </c>
    </row>
    <row r="243" spans="1:36">
      <c r="A243" t="str">
        <f>"non-electricity_archetype_"&amp;TEXT(ROUND(Table3[[#This Row],[2016]],1),"0.0")</f>
        <v>non-electricity_archetype_6.1</v>
      </c>
      <c r="B243" s="5">
        <f t="shared" si="36"/>
        <v>6.1</v>
      </c>
      <c r="C243" s="5">
        <f t="shared" si="40"/>
        <v>6.1</v>
      </c>
      <c r="D243" s="5">
        <f t="shared" si="40"/>
        <v>6.1</v>
      </c>
      <c r="E243" s="5">
        <f t="shared" si="40"/>
        <v>6.1</v>
      </c>
      <c r="F243" s="5">
        <f t="shared" si="40"/>
        <v>6.1</v>
      </c>
      <c r="G243" s="5">
        <f t="shared" si="40"/>
        <v>5.96756009153373</v>
      </c>
      <c r="H243" s="5">
        <f t="shared" si="40"/>
        <v>6.03559145937867</v>
      </c>
      <c r="I243" s="5">
        <f t="shared" si="40"/>
        <v>6.01825212463461</v>
      </c>
      <c r="J243" s="5">
        <f t="shared" si="40"/>
        <v>5.9823551541657</v>
      </c>
      <c r="K243" s="5">
        <f t="shared" si="40"/>
        <v>5.96140759092058</v>
      </c>
      <c r="L243" s="5">
        <f t="shared" si="40"/>
        <v>5.57144431855204</v>
      </c>
      <c r="M243" s="5">
        <f t="shared" si="40"/>
        <v>5.52092667458911</v>
      </c>
      <c r="N243" s="5">
        <f t="shared" si="40"/>
        <v>5.48445944369052</v>
      </c>
      <c r="O243" s="5">
        <f t="shared" si="40"/>
        <v>5.43099329923012</v>
      </c>
      <c r="P243" s="5">
        <f t="shared" si="40"/>
        <v>5.20002249089279</v>
      </c>
      <c r="Q243" s="5">
        <f t="shared" si="40"/>
        <v>4.84476617102497</v>
      </c>
      <c r="R243" s="5">
        <f t="shared" ref="R243:AG258" si="43">(($B243-$AJ$3)*((R$3-$AJ$3)/($B$3-$AJ$3)))+$AJ$3</f>
        <v>4.21476997987947</v>
      </c>
      <c r="S243" s="5">
        <f t="shared" si="43"/>
        <v>3.92046140336114</v>
      </c>
      <c r="T243" s="5">
        <f t="shared" si="43"/>
        <v>3.58580753629593</v>
      </c>
      <c r="U243" s="5">
        <f t="shared" si="43"/>
        <v>2.75145698966735</v>
      </c>
      <c r="V243" s="5">
        <f t="shared" si="43"/>
        <v>2.65909088051039</v>
      </c>
      <c r="W243" s="5">
        <f t="shared" si="43"/>
        <v>2.09842518578456</v>
      </c>
      <c r="X243" s="5">
        <f t="shared" si="43"/>
        <v>1.8793889374395</v>
      </c>
      <c r="Y243" s="5">
        <f t="shared" si="43"/>
        <v>1.63456422526779</v>
      </c>
      <c r="Z243" s="5">
        <f t="shared" si="43"/>
        <v>1.52084443755296</v>
      </c>
      <c r="AA243" s="5">
        <f t="shared" si="43"/>
        <v>1.2893848396443</v>
      </c>
      <c r="AB243" s="5">
        <f t="shared" si="43"/>
        <v>0.918136801870896</v>
      </c>
      <c r="AC243" s="5">
        <f t="shared" si="43"/>
        <v>0.756424381521299</v>
      </c>
      <c r="AD243" s="5">
        <f t="shared" si="43"/>
        <v>0.730346960818979</v>
      </c>
      <c r="AE243" s="5">
        <f t="shared" si="43"/>
        <v>0.543760633733868</v>
      </c>
      <c r="AF243" s="5">
        <f t="shared" si="43"/>
        <v>0.535304631547832</v>
      </c>
      <c r="AG243" s="5">
        <f t="shared" si="43"/>
        <v>0.512489648240667</v>
      </c>
      <c r="AH243" s="5">
        <f t="shared" si="42"/>
        <v>0.364444664741222</v>
      </c>
      <c r="AI243" s="5">
        <f t="shared" si="42"/>
        <v>0.290824425832565</v>
      </c>
      <c r="AJ243" s="5">
        <f t="shared" si="42"/>
        <v>0.267636408002995</v>
      </c>
    </row>
    <row r="244" spans="1:36">
      <c r="A244" t="str">
        <f>"non-electricity_archetype_"&amp;TEXT(ROUND(Table3[[#This Row],[2016]],1),"0.0")</f>
        <v>non-electricity_archetype_6.0</v>
      </c>
      <c r="B244" s="5">
        <f t="shared" si="36"/>
        <v>6</v>
      </c>
      <c r="C244" s="5">
        <f t="shared" ref="C244:R259" si="44">(($B244-$AJ$3)*((C$3-$AJ$3)/($B$3-$AJ$3)))+$AJ$3</f>
        <v>6</v>
      </c>
      <c r="D244" s="5">
        <f t="shared" si="44"/>
        <v>6</v>
      </c>
      <c r="E244" s="5">
        <f t="shared" si="44"/>
        <v>6</v>
      </c>
      <c r="F244" s="5">
        <f t="shared" si="44"/>
        <v>6</v>
      </c>
      <c r="G244" s="5">
        <f t="shared" si="44"/>
        <v>5.86983086746149</v>
      </c>
      <c r="H244" s="5">
        <f t="shared" si="44"/>
        <v>5.93669578937465</v>
      </c>
      <c r="I244" s="5">
        <f t="shared" si="44"/>
        <v>5.91965374979182</v>
      </c>
      <c r="J244" s="5">
        <f t="shared" si="44"/>
        <v>5.88437225827758</v>
      </c>
      <c r="K244" s="5">
        <f t="shared" si="44"/>
        <v>5.86378385582405</v>
      </c>
      <c r="L244" s="5">
        <f t="shared" si="44"/>
        <v>5.48050677964711</v>
      </c>
      <c r="M244" s="5">
        <f t="shared" si="44"/>
        <v>5.43085529642958</v>
      </c>
      <c r="N244" s="5">
        <f t="shared" si="44"/>
        <v>5.39501332200418</v>
      </c>
      <c r="O244" s="5">
        <f t="shared" si="44"/>
        <v>5.34246389241618</v>
      </c>
      <c r="P244" s="5">
        <f t="shared" si="44"/>
        <v>5.11545324199243</v>
      </c>
      <c r="Q244" s="5">
        <f t="shared" si="44"/>
        <v>4.7662880430615</v>
      </c>
      <c r="R244" s="5">
        <f t="shared" si="44"/>
        <v>4.14709358231584</v>
      </c>
      <c r="S244" s="5">
        <f t="shared" si="43"/>
        <v>3.85783113455604</v>
      </c>
      <c r="T244" s="5">
        <f t="shared" si="43"/>
        <v>3.52891514479883</v>
      </c>
      <c r="U244" s="5">
        <f t="shared" si="43"/>
        <v>2.70887012856917</v>
      </c>
      <c r="V244" s="5">
        <f t="shared" si="43"/>
        <v>2.61808770169985</v>
      </c>
      <c r="W244" s="5">
        <f t="shared" si="43"/>
        <v>2.06703501696358</v>
      </c>
      <c r="X244" s="5">
        <f t="shared" si="43"/>
        <v>1.8517543000577</v>
      </c>
      <c r="Y244" s="5">
        <f t="shared" si="43"/>
        <v>1.61112728078202</v>
      </c>
      <c r="Z244" s="5">
        <f t="shared" si="43"/>
        <v>1.49935729928075</v>
      </c>
      <c r="AA244" s="5">
        <f t="shared" si="43"/>
        <v>1.27186623992868</v>
      </c>
      <c r="AB244" s="5">
        <f t="shared" si="43"/>
        <v>0.906983512409305</v>
      </c>
      <c r="AC244" s="5">
        <f t="shared" si="43"/>
        <v>0.748043765913091</v>
      </c>
      <c r="AD244" s="5">
        <f t="shared" si="43"/>
        <v>0.722413461037675</v>
      </c>
      <c r="AE244" s="5">
        <f t="shared" si="43"/>
        <v>0.53902628853444</v>
      </c>
      <c r="AF244" s="5">
        <f t="shared" si="43"/>
        <v>0.530715270488241</v>
      </c>
      <c r="AG244" s="5">
        <f t="shared" si="43"/>
        <v>0.508291466210767</v>
      </c>
      <c r="AH244" s="5">
        <f t="shared" si="42"/>
        <v>0.362784818690625</v>
      </c>
      <c r="AI244" s="5">
        <f t="shared" si="42"/>
        <v>0.290426850862078</v>
      </c>
      <c r="AJ244" s="5">
        <f t="shared" si="42"/>
        <v>0.267636408002995</v>
      </c>
    </row>
    <row r="245" spans="1:36">
      <c r="A245" t="str">
        <f>"non-electricity_archetype_"&amp;TEXT(ROUND(Table3[[#This Row],[2016]],1),"0.0")</f>
        <v>non-electricity_archetype_5.9</v>
      </c>
      <c r="B245" s="5">
        <f t="shared" si="36"/>
        <v>5.9</v>
      </c>
      <c r="C245" s="5">
        <f t="shared" si="44"/>
        <v>5.9</v>
      </c>
      <c r="D245" s="5">
        <f t="shared" si="44"/>
        <v>5.9</v>
      </c>
      <c r="E245" s="5">
        <f t="shared" si="44"/>
        <v>5.9</v>
      </c>
      <c r="F245" s="5">
        <f t="shared" si="44"/>
        <v>5.9</v>
      </c>
      <c r="G245" s="5">
        <f t="shared" si="44"/>
        <v>5.77210164338924</v>
      </c>
      <c r="H245" s="5">
        <f t="shared" si="44"/>
        <v>5.83780011937063</v>
      </c>
      <c r="I245" s="5">
        <f t="shared" si="44"/>
        <v>5.82105537494903</v>
      </c>
      <c r="J245" s="5">
        <f t="shared" si="44"/>
        <v>5.78638936238947</v>
      </c>
      <c r="K245" s="5">
        <f t="shared" si="44"/>
        <v>5.76616012072752</v>
      </c>
      <c r="L245" s="5">
        <f t="shared" si="44"/>
        <v>5.38956924074218</v>
      </c>
      <c r="M245" s="5">
        <f t="shared" si="44"/>
        <v>5.34078391827006</v>
      </c>
      <c r="N245" s="5">
        <f t="shared" si="44"/>
        <v>5.30556720031784</v>
      </c>
      <c r="O245" s="5">
        <f t="shared" si="44"/>
        <v>5.25393448560224</v>
      </c>
      <c r="P245" s="5">
        <f t="shared" si="44"/>
        <v>5.03088399309207</v>
      </c>
      <c r="Q245" s="5">
        <f t="shared" si="44"/>
        <v>4.68780991509804</v>
      </c>
      <c r="R245" s="5">
        <f t="shared" si="44"/>
        <v>4.0794171847522</v>
      </c>
      <c r="S245" s="5">
        <f t="shared" si="43"/>
        <v>3.79520086575095</v>
      </c>
      <c r="T245" s="5">
        <f t="shared" si="43"/>
        <v>3.47202275330174</v>
      </c>
      <c r="U245" s="5">
        <f t="shared" si="43"/>
        <v>2.66628326747099</v>
      </c>
      <c r="V245" s="5">
        <f t="shared" si="43"/>
        <v>2.57708452288931</v>
      </c>
      <c r="W245" s="5">
        <f t="shared" si="43"/>
        <v>2.03564484814259</v>
      </c>
      <c r="X245" s="5">
        <f t="shared" si="43"/>
        <v>1.8241196626759</v>
      </c>
      <c r="Y245" s="5">
        <f t="shared" si="43"/>
        <v>1.58769033629624</v>
      </c>
      <c r="Z245" s="5">
        <f t="shared" si="43"/>
        <v>1.47787016100855</v>
      </c>
      <c r="AA245" s="5">
        <f t="shared" si="43"/>
        <v>1.25434764021306</v>
      </c>
      <c r="AB245" s="5">
        <f t="shared" si="43"/>
        <v>0.895830222947713</v>
      </c>
      <c r="AC245" s="5">
        <f t="shared" si="43"/>
        <v>0.739663150304884</v>
      </c>
      <c r="AD245" s="5">
        <f t="shared" si="43"/>
        <v>0.71447996125637</v>
      </c>
      <c r="AE245" s="5">
        <f t="shared" si="43"/>
        <v>0.534291943335013</v>
      </c>
      <c r="AF245" s="5">
        <f t="shared" si="43"/>
        <v>0.526125909428651</v>
      </c>
      <c r="AG245" s="5">
        <f t="shared" si="43"/>
        <v>0.504093284180866</v>
      </c>
      <c r="AH245" s="5">
        <f t="shared" si="42"/>
        <v>0.361124972640028</v>
      </c>
      <c r="AI245" s="5">
        <f t="shared" si="42"/>
        <v>0.290029275891591</v>
      </c>
      <c r="AJ245" s="5">
        <f t="shared" si="42"/>
        <v>0.267636408002995</v>
      </c>
    </row>
    <row r="246" spans="1:36">
      <c r="A246" t="str">
        <f>"non-electricity_archetype_"&amp;TEXT(ROUND(Table3[[#This Row],[2016]],1),"0.0")</f>
        <v>non-electricity_archetype_5.8</v>
      </c>
      <c r="B246" s="5">
        <f t="shared" si="36"/>
        <v>5.8</v>
      </c>
      <c r="C246" s="5">
        <f t="shared" si="44"/>
        <v>5.8</v>
      </c>
      <c r="D246" s="5">
        <f t="shared" si="44"/>
        <v>5.8</v>
      </c>
      <c r="E246" s="5">
        <f t="shared" si="44"/>
        <v>5.8</v>
      </c>
      <c r="F246" s="5">
        <f t="shared" si="44"/>
        <v>5.8</v>
      </c>
      <c r="G246" s="5">
        <f t="shared" si="44"/>
        <v>5.674372419317</v>
      </c>
      <c r="H246" s="5">
        <f t="shared" si="44"/>
        <v>5.73890444936662</v>
      </c>
      <c r="I246" s="5">
        <f t="shared" si="44"/>
        <v>5.72245700010624</v>
      </c>
      <c r="J246" s="5">
        <f t="shared" si="44"/>
        <v>5.68840646650135</v>
      </c>
      <c r="K246" s="5">
        <f t="shared" si="44"/>
        <v>5.66853638563099</v>
      </c>
      <c r="L246" s="5">
        <f t="shared" si="44"/>
        <v>5.29863170183726</v>
      </c>
      <c r="M246" s="5">
        <f t="shared" si="44"/>
        <v>5.25071254011053</v>
      </c>
      <c r="N246" s="5">
        <f t="shared" si="44"/>
        <v>5.2161210786315</v>
      </c>
      <c r="O246" s="5">
        <f t="shared" si="44"/>
        <v>5.1654050787883</v>
      </c>
      <c r="P246" s="5">
        <f t="shared" si="44"/>
        <v>4.94631474419172</v>
      </c>
      <c r="Q246" s="5">
        <f t="shared" si="44"/>
        <v>4.60933178713457</v>
      </c>
      <c r="R246" s="5">
        <f t="shared" si="44"/>
        <v>4.01174078718857</v>
      </c>
      <c r="S246" s="5">
        <f t="shared" si="43"/>
        <v>3.73257059694586</v>
      </c>
      <c r="T246" s="5">
        <f t="shared" si="43"/>
        <v>3.41513036180465</v>
      </c>
      <c r="U246" s="5">
        <f t="shared" si="43"/>
        <v>2.62369640637282</v>
      </c>
      <c r="V246" s="5">
        <f t="shared" si="43"/>
        <v>2.53608134407877</v>
      </c>
      <c r="W246" s="5">
        <f t="shared" si="43"/>
        <v>2.00425467932161</v>
      </c>
      <c r="X246" s="5">
        <f t="shared" si="43"/>
        <v>1.7964850252941</v>
      </c>
      <c r="Y246" s="5">
        <f t="shared" si="43"/>
        <v>1.56425339181047</v>
      </c>
      <c r="Z246" s="5">
        <f t="shared" si="43"/>
        <v>1.45638302273635</v>
      </c>
      <c r="AA246" s="5">
        <f t="shared" si="43"/>
        <v>1.23682904049745</v>
      </c>
      <c r="AB246" s="5">
        <f t="shared" si="43"/>
        <v>0.884676933486122</v>
      </c>
      <c r="AC246" s="5">
        <f t="shared" si="43"/>
        <v>0.731282534696676</v>
      </c>
      <c r="AD246" s="5">
        <f t="shared" si="43"/>
        <v>0.706546461475065</v>
      </c>
      <c r="AE246" s="5">
        <f t="shared" si="43"/>
        <v>0.529557598135585</v>
      </c>
      <c r="AF246" s="5">
        <f t="shared" si="43"/>
        <v>0.521536548369061</v>
      </c>
      <c r="AG246" s="5">
        <f t="shared" si="43"/>
        <v>0.499895102150966</v>
      </c>
      <c r="AH246" s="5">
        <f t="shared" si="42"/>
        <v>0.359465126589431</v>
      </c>
      <c r="AI246" s="5">
        <f t="shared" si="42"/>
        <v>0.289631700921104</v>
      </c>
      <c r="AJ246" s="5">
        <f t="shared" si="42"/>
        <v>0.267636408002995</v>
      </c>
    </row>
    <row r="247" spans="1:36">
      <c r="A247" t="str">
        <f>"non-electricity_archetype_"&amp;TEXT(ROUND(Table3[[#This Row],[2016]],1),"0.0")</f>
        <v>non-electricity_archetype_5.7</v>
      </c>
      <c r="B247" s="5">
        <f t="shared" si="36"/>
        <v>5.7</v>
      </c>
      <c r="C247" s="5">
        <f t="shared" si="44"/>
        <v>5.7</v>
      </c>
      <c r="D247" s="5">
        <f t="shared" si="44"/>
        <v>5.7</v>
      </c>
      <c r="E247" s="5">
        <f t="shared" si="44"/>
        <v>5.7</v>
      </c>
      <c r="F247" s="5">
        <f t="shared" si="44"/>
        <v>5.7</v>
      </c>
      <c r="G247" s="5">
        <f t="shared" si="44"/>
        <v>5.57664319524476</v>
      </c>
      <c r="H247" s="5">
        <f t="shared" si="44"/>
        <v>5.6400087793626</v>
      </c>
      <c r="I247" s="5">
        <f t="shared" si="44"/>
        <v>5.62385862526345</v>
      </c>
      <c r="J247" s="5">
        <f t="shared" si="44"/>
        <v>5.59042357061324</v>
      </c>
      <c r="K247" s="5">
        <f t="shared" si="44"/>
        <v>5.57091265053446</v>
      </c>
      <c r="L247" s="5">
        <f t="shared" si="44"/>
        <v>5.20769416293233</v>
      </c>
      <c r="M247" s="5">
        <f t="shared" si="44"/>
        <v>5.16064116195101</v>
      </c>
      <c r="N247" s="5">
        <f t="shared" si="44"/>
        <v>5.12667495694515</v>
      </c>
      <c r="O247" s="5">
        <f t="shared" si="44"/>
        <v>5.07687567197436</v>
      </c>
      <c r="P247" s="5">
        <f t="shared" si="44"/>
        <v>4.86174549529136</v>
      </c>
      <c r="Q247" s="5">
        <f t="shared" si="44"/>
        <v>4.53085365917111</v>
      </c>
      <c r="R247" s="5">
        <f t="shared" si="44"/>
        <v>3.94406438962494</v>
      </c>
      <c r="S247" s="5">
        <f t="shared" si="43"/>
        <v>3.66994032814076</v>
      </c>
      <c r="T247" s="5">
        <f t="shared" si="43"/>
        <v>3.35823797030755</v>
      </c>
      <c r="U247" s="5">
        <f t="shared" si="43"/>
        <v>2.58110954527464</v>
      </c>
      <c r="V247" s="5">
        <f t="shared" si="43"/>
        <v>2.49507816526823</v>
      </c>
      <c r="W247" s="5">
        <f t="shared" si="43"/>
        <v>1.97286451050062</v>
      </c>
      <c r="X247" s="5">
        <f t="shared" si="43"/>
        <v>1.7688503879123</v>
      </c>
      <c r="Y247" s="5">
        <f t="shared" si="43"/>
        <v>1.5408164473247</v>
      </c>
      <c r="Z247" s="5">
        <f t="shared" si="43"/>
        <v>1.43489588446415</v>
      </c>
      <c r="AA247" s="5">
        <f t="shared" si="43"/>
        <v>1.21931044078183</v>
      </c>
      <c r="AB247" s="5">
        <f t="shared" si="43"/>
        <v>0.87352364402453</v>
      </c>
      <c r="AC247" s="5">
        <f t="shared" si="43"/>
        <v>0.722901919088469</v>
      </c>
      <c r="AD247" s="5">
        <f t="shared" si="43"/>
        <v>0.69861296169376</v>
      </c>
      <c r="AE247" s="5">
        <f t="shared" si="43"/>
        <v>0.524823252936157</v>
      </c>
      <c r="AF247" s="5">
        <f t="shared" si="43"/>
        <v>0.51694718730947</v>
      </c>
      <c r="AG247" s="5">
        <f t="shared" si="43"/>
        <v>0.495696920121065</v>
      </c>
      <c r="AH247" s="5">
        <f t="shared" si="42"/>
        <v>0.357805280538834</v>
      </c>
      <c r="AI247" s="5">
        <f t="shared" si="42"/>
        <v>0.289234125950617</v>
      </c>
      <c r="AJ247" s="5">
        <f t="shared" si="42"/>
        <v>0.267636408002995</v>
      </c>
    </row>
    <row r="248" spans="1:36">
      <c r="A248" t="str">
        <f>"non-electricity_archetype_"&amp;TEXT(ROUND(Table3[[#This Row],[2016]],1),"0.0")</f>
        <v>non-electricity_archetype_5.6</v>
      </c>
      <c r="B248" s="5">
        <f t="shared" si="36"/>
        <v>5.6</v>
      </c>
      <c r="C248" s="5">
        <f t="shared" si="44"/>
        <v>5.6</v>
      </c>
      <c r="D248" s="5">
        <f t="shared" si="44"/>
        <v>5.6</v>
      </c>
      <c r="E248" s="5">
        <f t="shared" si="44"/>
        <v>5.6</v>
      </c>
      <c r="F248" s="5">
        <f t="shared" si="44"/>
        <v>5.6</v>
      </c>
      <c r="G248" s="5">
        <f t="shared" si="44"/>
        <v>5.47891397117251</v>
      </c>
      <c r="H248" s="5">
        <f t="shared" si="44"/>
        <v>5.54111310935859</v>
      </c>
      <c r="I248" s="5">
        <f t="shared" si="44"/>
        <v>5.52526025042066</v>
      </c>
      <c r="J248" s="5">
        <f t="shared" si="44"/>
        <v>5.49244067472513</v>
      </c>
      <c r="K248" s="5">
        <f t="shared" si="44"/>
        <v>5.47328891543793</v>
      </c>
      <c r="L248" s="5">
        <f t="shared" si="44"/>
        <v>5.1167566240274</v>
      </c>
      <c r="M248" s="5">
        <f t="shared" si="44"/>
        <v>5.07056978379148</v>
      </c>
      <c r="N248" s="5">
        <f t="shared" si="44"/>
        <v>5.03722883525881</v>
      </c>
      <c r="O248" s="5">
        <f t="shared" si="44"/>
        <v>4.98834626516042</v>
      </c>
      <c r="P248" s="5">
        <f t="shared" si="44"/>
        <v>4.777176246391</v>
      </c>
      <c r="Q248" s="5">
        <f t="shared" si="44"/>
        <v>4.45237553120764</v>
      </c>
      <c r="R248" s="5">
        <f t="shared" si="44"/>
        <v>3.87638799206131</v>
      </c>
      <c r="S248" s="5">
        <f t="shared" si="43"/>
        <v>3.60731005933567</v>
      </c>
      <c r="T248" s="5">
        <f t="shared" si="43"/>
        <v>3.30134557881046</v>
      </c>
      <c r="U248" s="5">
        <f t="shared" si="43"/>
        <v>2.53852268417647</v>
      </c>
      <c r="V248" s="5">
        <f t="shared" si="43"/>
        <v>2.45407498645769</v>
      </c>
      <c r="W248" s="5">
        <f t="shared" si="43"/>
        <v>1.94147434167964</v>
      </c>
      <c r="X248" s="5">
        <f t="shared" si="43"/>
        <v>1.7412157505305</v>
      </c>
      <c r="Y248" s="5">
        <f t="shared" si="43"/>
        <v>1.51737950283892</v>
      </c>
      <c r="Z248" s="5">
        <f t="shared" si="43"/>
        <v>1.41340874619195</v>
      </c>
      <c r="AA248" s="5">
        <f t="shared" si="43"/>
        <v>1.20179184106621</v>
      </c>
      <c r="AB248" s="5">
        <f t="shared" si="43"/>
        <v>0.862370354562939</v>
      </c>
      <c r="AC248" s="5">
        <f t="shared" si="43"/>
        <v>0.714521303480262</v>
      </c>
      <c r="AD248" s="5">
        <f t="shared" si="43"/>
        <v>0.690679461912455</v>
      </c>
      <c r="AE248" s="5">
        <f t="shared" si="43"/>
        <v>0.52008890773673</v>
      </c>
      <c r="AF248" s="5">
        <f t="shared" si="43"/>
        <v>0.51235782624988</v>
      </c>
      <c r="AG248" s="5">
        <f t="shared" si="43"/>
        <v>0.491498738091165</v>
      </c>
      <c r="AH248" s="5">
        <f t="shared" si="42"/>
        <v>0.356145434488237</v>
      </c>
      <c r="AI248" s="5">
        <f t="shared" si="42"/>
        <v>0.288836550980131</v>
      </c>
      <c r="AJ248" s="5">
        <f t="shared" si="42"/>
        <v>0.267636408002995</v>
      </c>
    </row>
    <row r="249" spans="1:36">
      <c r="A249" t="str">
        <f>"non-electricity_archetype_"&amp;TEXT(ROUND(Table3[[#This Row],[2016]],1),"0.0")</f>
        <v>non-electricity_archetype_5.5</v>
      </c>
      <c r="B249" s="5">
        <f t="shared" si="36"/>
        <v>5.5</v>
      </c>
      <c r="C249" s="5">
        <f t="shared" si="44"/>
        <v>5.5</v>
      </c>
      <c r="D249" s="5">
        <f t="shared" si="44"/>
        <v>5.5</v>
      </c>
      <c r="E249" s="5">
        <f t="shared" si="44"/>
        <v>5.5</v>
      </c>
      <c r="F249" s="5">
        <f t="shared" si="44"/>
        <v>5.5</v>
      </c>
      <c r="G249" s="5">
        <f t="shared" si="44"/>
        <v>5.38118474710027</v>
      </c>
      <c r="H249" s="5">
        <f t="shared" si="44"/>
        <v>5.44221743935458</v>
      </c>
      <c r="I249" s="5">
        <f t="shared" si="44"/>
        <v>5.42666187557787</v>
      </c>
      <c r="J249" s="5">
        <f t="shared" si="44"/>
        <v>5.39445777883701</v>
      </c>
      <c r="K249" s="5">
        <f t="shared" si="44"/>
        <v>5.3756651803414</v>
      </c>
      <c r="L249" s="5">
        <f t="shared" si="44"/>
        <v>5.02581908512248</v>
      </c>
      <c r="M249" s="5">
        <f t="shared" si="44"/>
        <v>4.98049840563196</v>
      </c>
      <c r="N249" s="5">
        <f t="shared" si="44"/>
        <v>4.94778271357247</v>
      </c>
      <c r="O249" s="5">
        <f t="shared" si="44"/>
        <v>4.89981685834648</v>
      </c>
      <c r="P249" s="5">
        <f t="shared" si="44"/>
        <v>4.69260699749064</v>
      </c>
      <c r="Q249" s="5">
        <f t="shared" si="44"/>
        <v>4.37389740324418</v>
      </c>
      <c r="R249" s="5">
        <f t="shared" si="44"/>
        <v>3.80871159449767</v>
      </c>
      <c r="S249" s="5">
        <f t="shared" si="43"/>
        <v>3.54467979053057</v>
      </c>
      <c r="T249" s="5">
        <f t="shared" si="43"/>
        <v>3.24445318731336</v>
      </c>
      <c r="U249" s="5">
        <f t="shared" si="43"/>
        <v>2.49593582307829</v>
      </c>
      <c r="V249" s="5">
        <f t="shared" si="43"/>
        <v>2.41307180764714</v>
      </c>
      <c r="W249" s="5">
        <f t="shared" si="43"/>
        <v>1.91008417285865</v>
      </c>
      <c r="X249" s="5">
        <f t="shared" si="43"/>
        <v>1.7135811131487</v>
      </c>
      <c r="Y249" s="5">
        <f t="shared" si="43"/>
        <v>1.49394255835315</v>
      </c>
      <c r="Z249" s="5">
        <f t="shared" si="43"/>
        <v>1.39192160791974</v>
      </c>
      <c r="AA249" s="5">
        <f t="shared" si="43"/>
        <v>1.1842732413506</v>
      </c>
      <c r="AB249" s="5">
        <f t="shared" si="43"/>
        <v>0.851217065101347</v>
      </c>
      <c r="AC249" s="5">
        <f t="shared" si="43"/>
        <v>0.706140687872054</v>
      </c>
      <c r="AD249" s="5">
        <f t="shared" si="43"/>
        <v>0.68274596213115</v>
      </c>
      <c r="AE249" s="5">
        <f t="shared" si="43"/>
        <v>0.515354562537302</v>
      </c>
      <c r="AF249" s="5">
        <f t="shared" si="43"/>
        <v>0.507768465190289</v>
      </c>
      <c r="AG249" s="5">
        <f t="shared" si="43"/>
        <v>0.487300556061265</v>
      </c>
      <c r="AH249" s="5">
        <f t="shared" si="42"/>
        <v>0.354485588437639</v>
      </c>
      <c r="AI249" s="5">
        <f t="shared" si="42"/>
        <v>0.288438976009644</v>
      </c>
      <c r="AJ249" s="5">
        <f t="shared" si="42"/>
        <v>0.267636408002995</v>
      </c>
    </row>
    <row r="250" spans="1:36">
      <c r="A250" t="str">
        <f>"non-electricity_archetype_"&amp;TEXT(ROUND(Table3[[#This Row],[2016]],1),"0.0")</f>
        <v>non-electricity_archetype_5.4</v>
      </c>
      <c r="B250" s="5">
        <f t="shared" si="36"/>
        <v>5.4</v>
      </c>
      <c r="C250" s="5">
        <f t="shared" si="44"/>
        <v>5.4</v>
      </c>
      <c r="D250" s="5">
        <f t="shared" si="44"/>
        <v>5.4</v>
      </c>
      <c r="E250" s="5">
        <f t="shared" si="44"/>
        <v>5.4</v>
      </c>
      <c r="F250" s="5">
        <f t="shared" si="44"/>
        <v>5.4</v>
      </c>
      <c r="G250" s="5">
        <f t="shared" si="44"/>
        <v>5.28345552302802</v>
      </c>
      <c r="H250" s="5">
        <f t="shared" si="44"/>
        <v>5.34332176935056</v>
      </c>
      <c r="I250" s="5">
        <f t="shared" si="44"/>
        <v>5.32806350073508</v>
      </c>
      <c r="J250" s="5">
        <f t="shared" si="44"/>
        <v>5.2964748829489</v>
      </c>
      <c r="K250" s="5">
        <f t="shared" si="44"/>
        <v>5.27804144524487</v>
      </c>
      <c r="L250" s="5">
        <f t="shared" si="44"/>
        <v>4.93488154621755</v>
      </c>
      <c r="M250" s="5">
        <f t="shared" si="44"/>
        <v>4.89042702747243</v>
      </c>
      <c r="N250" s="5">
        <f t="shared" si="44"/>
        <v>4.85833659188613</v>
      </c>
      <c r="O250" s="5">
        <f t="shared" si="44"/>
        <v>4.81128745153254</v>
      </c>
      <c r="P250" s="5">
        <f t="shared" si="44"/>
        <v>4.60803774859029</v>
      </c>
      <c r="Q250" s="5">
        <f t="shared" si="44"/>
        <v>4.29541927528071</v>
      </c>
      <c r="R250" s="5">
        <f t="shared" si="44"/>
        <v>3.74103519693404</v>
      </c>
      <c r="S250" s="5">
        <f t="shared" si="43"/>
        <v>3.48204952172548</v>
      </c>
      <c r="T250" s="5">
        <f t="shared" si="43"/>
        <v>3.18756079581627</v>
      </c>
      <c r="U250" s="5">
        <f t="shared" si="43"/>
        <v>2.45334896198012</v>
      </c>
      <c r="V250" s="5">
        <f t="shared" si="43"/>
        <v>2.3720686288366</v>
      </c>
      <c r="W250" s="5">
        <f t="shared" si="43"/>
        <v>1.87869400403766</v>
      </c>
      <c r="X250" s="5">
        <f t="shared" si="43"/>
        <v>1.6859464757669</v>
      </c>
      <c r="Y250" s="5">
        <f t="shared" si="43"/>
        <v>1.47050561386738</v>
      </c>
      <c r="Z250" s="5">
        <f t="shared" si="43"/>
        <v>1.37043446964754</v>
      </c>
      <c r="AA250" s="5">
        <f t="shared" si="43"/>
        <v>1.16675464163498</v>
      </c>
      <c r="AB250" s="5">
        <f t="shared" si="43"/>
        <v>0.840063775639756</v>
      </c>
      <c r="AC250" s="5">
        <f t="shared" si="43"/>
        <v>0.697760072263847</v>
      </c>
      <c r="AD250" s="5">
        <f t="shared" si="43"/>
        <v>0.674812462349846</v>
      </c>
      <c r="AE250" s="5">
        <f t="shared" si="43"/>
        <v>0.510620217337875</v>
      </c>
      <c r="AF250" s="5">
        <f t="shared" si="43"/>
        <v>0.503179104130699</v>
      </c>
      <c r="AG250" s="5">
        <f t="shared" si="43"/>
        <v>0.483102374031364</v>
      </c>
      <c r="AH250" s="5">
        <f t="shared" si="42"/>
        <v>0.352825742387042</v>
      </c>
      <c r="AI250" s="5">
        <f t="shared" si="42"/>
        <v>0.288041401039157</v>
      </c>
      <c r="AJ250" s="5">
        <f t="shared" si="42"/>
        <v>0.267636408002995</v>
      </c>
    </row>
    <row r="251" spans="1:36">
      <c r="A251" t="str">
        <f>"non-electricity_archetype_"&amp;TEXT(ROUND(Table3[[#This Row],[2016]],1),"0.0")</f>
        <v>non-electricity_archetype_5.3</v>
      </c>
      <c r="B251" s="5">
        <f t="shared" si="36"/>
        <v>5.3</v>
      </c>
      <c r="C251" s="5">
        <f t="shared" si="44"/>
        <v>5.3</v>
      </c>
      <c r="D251" s="5">
        <f t="shared" si="44"/>
        <v>5.3</v>
      </c>
      <c r="E251" s="5">
        <f t="shared" si="44"/>
        <v>5.3</v>
      </c>
      <c r="F251" s="5">
        <f t="shared" si="44"/>
        <v>5.3</v>
      </c>
      <c r="G251" s="5">
        <f t="shared" si="44"/>
        <v>5.18572629895578</v>
      </c>
      <c r="H251" s="5">
        <f t="shared" si="44"/>
        <v>5.24442609934655</v>
      </c>
      <c r="I251" s="5">
        <f t="shared" si="44"/>
        <v>5.22946512589229</v>
      </c>
      <c r="J251" s="5">
        <f t="shared" si="44"/>
        <v>5.19849198706078</v>
      </c>
      <c r="K251" s="5">
        <f t="shared" si="44"/>
        <v>5.18041771014834</v>
      </c>
      <c r="L251" s="5">
        <f t="shared" si="44"/>
        <v>4.84394400731262</v>
      </c>
      <c r="M251" s="5">
        <f t="shared" si="44"/>
        <v>4.80035564931291</v>
      </c>
      <c r="N251" s="5">
        <f t="shared" si="44"/>
        <v>4.76889047019979</v>
      </c>
      <c r="O251" s="5">
        <f t="shared" si="44"/>
        <v>4.72275804471861</v>
      </c>
      <c r="P251" s="5">
        <f t="shared" si="44"/>
        <v>4.52346849968993</v>
      </c>
      <c r="Q251" s="5">
        <f t="shared" si="44"/>
        <v>4.21694114731725</v>
      </c>
      <c r="R251" s="5">
        <f t="shared" si="44"/>
        <v>3.67335879937041</v>
      </c>
      <c r="S251" s="5">
        <f t="shared" si="43"/>
        <v>3.41941925292039</v>
      </c>
      <c r="T251" s="5">
        <f t="shared" si="43"/>
        <v>3.13066840431917</v>
      </c>
      <c r="U251" s="5">
        <f t="shared" si="43"/>
        <v>2.41076210088194</v>
      </c>
      <c r="V251" s="5">
        <f t="shared" si="43"/>
        <v>2.33106545002606</v>
      </c>
      <c r="W251" s="5">
        <f t="shared" si="43"/>
        <v>1.84730383521668</v>
      </c>
      <c r="X251" s="5">
        <f t="shared" si="43"/>
        <v>1.6583118383851</v>
      </c>
      <c r="Y251" s="5">
        <f t="shared" si="43"/>
        <v>1.4470686693816</v>
      </c>
      <c r="Z251" s="5">
        <f t="shared" si="43"/>
        <v>1.34894733137534</v>
      </c>
      <c r="AA251" s="5">
        <f t="shared" si="43"/>
        <v>1.14923604191936</v>
      </c>
      <c r="AB251" s="5">
        <f t="shared" si="43"/>
        <v>0.828910486178164</v>
      </c>
      <c r="AC251" s="5">
        <f t="shared" si="43"/>
        <v>0.68937945665564</v>
      </c>
      <c r="AD251" s="5">
        <f t="shared" si="43"/>
        <v>0.666878962568541</v>
      </c>
      <c r="AE251" s="5">
        <f t="shared" si="43"/>
        <v>0.505885872138447</v>
      </c>
      <c r="AF251" s="5">
        <f t="shared" si="43"/>
        <v>0.498589743071109</v>
      </c>
      <c r="AG251" s="5">
        <f t="shared" si="43"/>
        <v>0.478904192001464</v>
      </c>
      <c r="AH251" s="5">
        <f t="shared" si="42"/>
        <v>0.351165896336445</v>
      </c>
      <c r="AI251" s="5">
        <f t="shared" si="42"/>
        <v>0.28764382606867</v>
      </c>
      <c r="AJ251" s="5">
        <f t="shared" si="42"/>
        <v>0.267636408002995</v>
      </c>
    </row>
    <row r="252" spans="1:36">
      <c r="A252" t="str">
        <f>"non-electricity_archetype_"&amp;TEXT(ROUND(Table3[[#This Row],[2016]],1),"0.0")</f>
        <v>non-electricity_archetype_5.2</v>
      </c>
      <c r="B252" s="5">
        <f t="shared" si="36"/>
        <v>5.2</v>
      </c>
      <c r="C252" s="5">
        <f t="shared" si="44"/>
        <v>5.2</v>
      </c>
      <c r="D252" s="5">
        <f t="shared" si="44"/>
        <v>5.2</v>
      </c>
      <c r="E252" s="5">
        <f t="shared" si="44"/>
        <v>5.2</v>
      </c>
      <c r="F252" s="5">
        <f t="shared" si="44"/>
        <v>5.2</v>
      </c>
      <c r="G252" s="5">
        <f t="shared" si="44"/>
        <v>5.08799707488353</v>
      </c>
      <c r="H252" s="5">
        <f t="shared" si="44"/>
        <v>5.14553042934253</v>
      </c>
      <c r="I252" s="5">
        <f t="shared" si="44"/>
        <v>5.1308667510495</v>
      </c>
      <c r="J252" s="5">
        <f t="shared" si="44"/>
        <v>5.10050909117267</v>
      </c>
      <c r="K252" s="5">
        <f t="shared" si="44"/>
        <v>5.08279397505181</v>
      </c>
      <c r="L252" s="5">
        <f t="shared" si="44"/>
        <v>4.7530064684077</v>
      </c>
      <c r="M252" s="5">
        <f t="shared" si="44"/>
        <v>4.71028427115338</v>
      </c>
      <c r="N252" s="5">
        <f t="shared" si="44"/>
        <v>4.67944434851345</v>
      </c>
      <c r="O252" s="5">
        <f t="shared" si="44"/>
        <v>4.63422863790467</v>
      </c>
      <c r="P252" s="5">
        <f t="shared" si="44"/>
        <v>4.43889925078957</v>
      </c>
      <c r="Q252" s="5">
        <f t="shared" si="44"/>
        <v>4.13846301935378</v>
      </c>
      <c r="R252" s="5">
        <f t="shared" si="44"/>
        <v>3.60568240180677</v>
      </c>
      <c r="S252" s="5">
        <f t="shared" si="43"/>
        <v>3.35678898411529</v>
      </c>
      <c r="T252" s="5">
        <f t="shared" si="43"/>
        <v>3.07377601282208</v>
      </c>
      <c r="U252" s="5">
        <f t="shared" si="43"/>
        <v>2.36817523978376</v>
      </c>
      <c r="V252" s="5">
        <f t="shared" si="43"/>
        <v>2.29006227121552</v>
      </c>
      <c r="W252" s="5">
        <f t="shared" si="43"/>
        <v>1.81591366639569</v>
      </c>
      <c r="X252" s="5">
        <f t="shared" si="43"/>
        <v>1.6306772010033</v>
      </c>
      <c r="Y252" s="5">
        <f t="shared" si="43"/>
        <v>1.42363172489583</v>
      </c>
      <c r="Z252" s="5">
        <f t="shared" si="43"/>
        <v>1.32746019310314</v>
      </c>
      <c r="AA252" s="5">
        <f t="shared" si="43"/>
        <v>1.13171744220375</v>
      </c>
      <c r="AB252" s="5">
        <f t="shared" si="43"/>
        <v>0.817757196716573</v>
      </c>
      <c r="AC252" s="5">
        <f t="shared" si="43"/>
        <v>0.680998841047432</v>
      </c>
      <c r="AD252" s="5">
        <f t="shared" si="43"/>
        <v>0.658945462787236</v>
      </c>
      <c r="AE252" s="5">
        <f t="shared" si="43"/>
        <v>0.501151526939019</v>
      </c>
      <c r="AF252" s="5">
        <f t="shared" si="43"/>
        <v>0.494000382011518</v>
      </c>
      <c r="AG252" s="5">
        <f t="shared" si="43"/>
        <v>0.474706009971563</v>
      </c>
      <c r="AH252" s="5">
        <f t="shared" si="42"/>
        <v>0.349506050285848</v>
      </c>
      <c r="AI252" s="5">
        <f t="shared" si="42"/>
        <v>0.287246251098183</v>
      </c>
      <c r="AJ252" s="5">
        <f t="shared" si="42"/>
        <v>0.267636408002995</v>
      </c>
    </row>
    <row r="253" spans="1:36">
      <c r="A253" t="str">
        <f>"non-electricity_archetype_"&amp;TEXT(ROUND(Table3[[#This Row],[2016]],1),"0.0")</f>
        <v>non-electricity_archetype_5.1</v>
      </c>
      <c r="B253" s="5">
        <f t="shared" si="36"/>
        <v>5.1</v>
      </c>
      <c r="C253" s="5">
        <f t="shared" si="44"/>
        <v>5.1</v>
      </c>
      <c r="D253" s="5">
        <f t="shared" si="44"/>
        <v>5.1</v>
      </c>
      <c r="E253" s="5">
        <f t="shared" si="44"/>
        <v>5.1</v>
      </c>
      <c r="F253" s="5">
        <f t="shared" si="44"/>
        <v>5.1</v>
      </c>
      <c r="G253" s="5">
        <f t="shared" si="44"/>
        <v>4.99026785081129</v>
      </c>
      <c r="H253" s="5">
        <f t="shared" si="44"/>
        <v>5.04663475933852</v>
      </c>
      <c r="I253" s="5">
        <f t="shared" si="44"/>
        <v>5.03226837620671</v>
      </c>
      <c r="J253" s="5">
        <f t="shared" si="44"/>
        <v>5.00252619528456</v>
      </c>
      <c r="K253" s="5">
        <f t="shared" si="44"/>
        <v>4.98517023995529</v>
      </c>
      <c r="L253" s="5">
        <f t="shared" si="44"/>
        <v>4.66206892950277</v>
      </c>
      <c r="M253" s="5">
        <f t="shared" si="44"/>
        <v>4.62021289299385</v>
      </c>
      <c r="N253" s="5">
        <f t="shared" si="44"/>
        <v>4.5899982268271</v>
      </c>
      <c r="O253" s="5">
        <f t="shared" si="44"/>
        <v>4.54569923109073</v>
      </c>
      <c r="P253" s="5">
        <f t="shared" si="44"/>
        <v>4.35433000188921</v>
      </c>
      <c r="Q253" s="5">
        <f t="shared" si="44"/>
        <v>4.05998489139032</v>
      </c>
      <c r="R253" s="5">
        <f t="shared" si="44"/>
        <v>3.53800600424314</v>
      </c>
      <c r="S253" s="5">
        <f t="shared" si="43"/>
        <v>3.2941587153102</v>
      </c>
      <c r="T253" s="5">
        <f t="shared" si="43"/>
        <v>3.01688362132498</v>
      </c>
      <c r="U253" s="5">
        <f t="shared" si="43"/>
        <v>2.32558837868559</v>
      </c>
      <c r="V253" s="5">
        <f t="shared" si="43"/>
        <v>2.24905909240498</v>
      </c>
      <c r="W253" s="5">
        <f t="shared" si="43"/>
        <v>1.78452349757471</v>
      </c>
      <c r="X253" s="5">
        <f t="shared" si="43"/>
        <v>1.6030425636215</v>
      </c>
      <c r="Y253" s="5">
        <f t="shared" si="43"/>
        <v>1.40019478041006</v>
      </c>
      <c r="Z253" s="5">
        <f t="shared" si="43"/>
        <v>1.30597305483094</v>
      </c>
      <c r="AA253" s="5">
        <f t="shared" si="43"/>
        <v>1.11419884248813</v>
      </c>
      <c r="AB253" s="5">
        <f t="shared" si="43"/>
        <v>0.806603907254981</v>
      </c>
      <c r="AC253" s="5">
        <f t="shared" si="43"/>
        <v>0.672618225439225</v>
      </c>
      <c r="AD253" s="5">
        <f t="shared" si="43"/>
        <v>0.651011963005931</v>
      </c>
      <c r="AE253" s="5">
        <f t="shared" si="43"/>
        <v>0.496417181739592</v>
      </c>
      <c r="AF253" s="5">
        <f t="shared" si="43"/>
        <v>0.489411020951928</v>
      </c>
      <c r="AG253" s="5">
        <f t="shared" si="43"/>
        <v>0.470507827941663</v>
      </c>
      <c r="AH253" s="5">
        <f t="shared" si="42"/>
        <v>0.347846204235251</v>
      </c>
      <c r="AI253" s="5">
        <f t="shared" si="42"/>
        <v>0.286848676127696</v>
      </c>
      <c r="AJ253" s="5">
        <f t="shared" si="42"/>
        <v>0.267636408002995</v>
      </c>
    </row>
    <row r="254" spans="1:36">
      <c r="A254" t="str">
        <f>"non-electricity_archetype_"&amp;TEXT(ROUND(Table3[[#This Row],[2016]],1),"0.0")</f>
        <v>non-electricity_archetype_5.0</v>
      </c>
      <c r="B254" s="5">
        <f t="shared" si="36"/>
        <v>5</v>
      </c>
      <c r="C254" s="5">
        <f t="shared" si="44"/>
        <v>5</v>
      </c>
      <c r="D254" s="5">
        <f t="shared" si="44"/>
        <v>5</v>
      </c>
      <c r="E254" s="5">
        <f t="shared" si="44"/>
        <v>5</v>
      </c>
      <c r="F254" s="5">
        <f t="shared" si="44"/>
        <v>5</v>
      </c>
      <c r="G254" s="5">
        <f t="shared" si="44"/>
        <v>4.89253862673905</v>
      </c>
      <c r="H254" s="5">
        <f t="shared" si="44"/>
        <v>4.9477390893345</v>
      </c>
      <c r="I254" s="5">
        <f t="shared" si="44"/>
        <v>4.93367000136392</v>
      </c>
      <c r="J254" s="5">
        <f t="shared" si="44"/>
        <v>4.90454329939644</v>
      </c>
      <c r="K254" s="5">
        <f t="shared" si="44"/>
        <v>4.88754650485876</v>
      </c>
      <c r="L254" s="5">
        <f t="shared" si="44"/>
        <v>4.57113139059785</v>
      </c>
      <c r="M254" s="5">
        <f t="shared" si="44"/>
        <v>4.53014151483433</v>
      </c>
      <c r="N254" s="5">
        <f t="shared" si="44"/>
        <v>4.50055210514076</v>
      </c>
      <c r="O254" s="5">
        <f t="shared" si="44"/>
        <v>4.45716982427679</v>
      </c>
      <c r="P254" s="5">
        <f t="shared" si="44"/>
        <v>4.26976075298885</v>
      </c>
      <c r="Q254" s="5">
        <f t="shared" si="44"/>
        <v>3.98150676342685</v>
      </c>
      <c r="R254" s="5">
        <f t="shared" si="44"/>
        <v>3.47032960667951</v>
      </c>
      <c r="S254" s="5">
        <f t="shared" si="43"/>
        <v>3.23152844650511</v>
      </c>
      <c r="T254" s="5">
        <f t="shared" si="43"/>
        <v>2.95999122982789</v>
      </c>
      <c r="U254" s="5">
        <f t="shared" si="43"/>
        <v>2.28300151758741</v>
      </c>
      <c r="V254" s="5">
        <f t="shared" si="43"/>
        <v>2.20805591359444</v>
      </c>
      <c r="W254" s="5">
        <f t="shared" si="43"/>
        <v>1.75313332875372</v>
      </c>
      <c r="X254" s="5">
        <f t="shared" si="43"/>
        <v>1.5754079262397</v>
      </c>
      <c r="Y254" s="5">
        <f t="shared" si="43"/>
        <v>1.37675783592428</v>
      </c>
      <c r="Z254" s="5">
        <f t="shared" si="43"/>
        <v>1.28448591655873</v>
      </c>
      <c r="AA254" s="5">
        <f t="shared" si="43"/>
        <v>1.09668024277251</v>
      </c>
      <c r="AB254" s="5">
        <f t="shared" si="43"/>
        <v>0.79545061779339</v>
      </c>
      <c r="AC254" s="5">
        <f t="shared" si="43"/>
        <v>0.664237609831018</v>
      </c>
      <c r="AD254" s="5">
        <f t="shared" si="43"/>
        <v>0.643078463224626</v>
      </c>
      <c r="AE254" s="5">
        <f t="shared" si="43"/>
        <v>0.491682836540164</v>
      </c>
      <c r="AF254" s="5">
        <f t="shared" si="43"/>
        <v>0.484821659892338</v>
      </c>
      <c r="AG254" s="5">
        <f t="shared" si="43"/>
        <v>0.466309645911763</v>
      </c>
      <c r="AH254" s="5">
        <f t="shared" si="42"/>
        <v>0.346186358184654</v>
      </c>
      <c r="AI254" s="5">
        <f t="shared" si="42"/>
        <v>0.286451101157209</v>
      </c>
      <c r="AJ254" s="5">
        <f t="shared" si="42"/>
        <v>0.267636408002995</v>
      </c>
    </row>
    <row r="255" spans="1:36">
      <c r="A255" t="str">
        <f>"non-electricity_archetype_"&amp;TEXT(ROUND(Table3[[#This Row],[2016]],1),"0.0")</f>
        <v>non-electricity_archetype_4.9</v>
      </c>
      <c r="B255" s="5">
        <f t="shared" si="36"/>
        <v>4.9</v>
      </c>
      <c r="C255" s="5">
        <f t="shared" si="44"/>
        <v>4.9</v>
      </c>
      <c r="D255" s="5">
        <f t="shared" si="44"/>
        <v>4.9</v>
      </c>
      <c r="E255" s="5">
        <f t="shared" si="44"/>
        <v>4.9</v>
      </c>
      <c r="F255" s="5">
        <f t="shared" si="44"/>
        <v>4.9</v>
      </c>
      <c r="G255" s="5">
        <f t="shared" si="44"/>
        <v>4.7948094026668</v>
      </c>
      <c r="H255" s="5">
        <f t="shared" si="44"/>
        <v>4.84884341933049</v>
      </c>
      <c r="I255" s="5">
        <f t="shared" si="44"/>
        <v>4.83507162652113</v>
      </c>
      <c r="J255" s="5">
        <f t="shared" si="44"/>
        <v>4.80656040350833</v>
      </c>
      <c r="K255" s="5">
        <f t="shared" si="44"/>
        <v>4.78992276976223</v>
      </c>
      <c r="L255" s="5">
        <f t="shared" si="44"/>
        <v>4.48019385169292</v>
      </c>
      <c r="M255" s="5">
        <f t="shared" si="44"/>
        <v>4.4400701366748</v>
      </c>
      <c r="N255" s="5">
        <f t="shared" si="44"/>
        <v>4.41110598345442</v>
      </c>
      <c r="O255" s="5">
        <f t="shared" si="44"/>
        <v>4.36864041746285</v>
      </c>
      <c r="P255" s="5">
        <f t="shared" si="44"/>
        <v>4.1851915040885</v>
      </c>
      <c r="Q255" s="5">
        <f t="shared" si="44"/>
        <v>3.90302863546339</v>
      </c>
      <c r="R255" s="5">
        <f t="shared" si="44"/>
        <v>3.40265320911588</v>
      </c>
      <c r="S255" s="5">
        <f t="shared" si="43"/>
        <v>3.16889817770001</v>
      </c>
      <c r="T255" s="5">
        <f t="shared" si="43"/>
        <v>2.9030988383308</v>
      </c>
      <c r="U255" s="5">
        <f t="shared" si="43"/>
        <v>2.24041465648923</v>
      </c>
      <c r="V255" s="5">
        <f t="shared" si="43"/>
        <v>2.1670527347839</v>
      </c>
      <c r="W255" s="5">
        <f t="shared" si="43"/>
        <v>1.72174315993274</v>
      </c>
      <c r="X255" s="5">
        <f t="shared" si="43"/>
        <v>1.5477732888579</v>
      </c>
      <c r="Y255" s="5">
        <f t="shared" si="43"/>
        <v>1.35332089143851</v>
      </c>
      <c r="Z255" s="5">
        <f t="shared" si="43"/>
        <v>1.26299877828653</v>
      </c>
      <c r="AA255" s="5">
        <f t="shared" si="43"/>
        <v>1.0791616430569</v>
      </c>
      <c r="AB255" s="5">
        <f t="shared" si="43"/>
        <v>0.784297328331798</v>
      </c>
      <c r="AC255" s="5">
        <f t="shared" si="43"/>
        <v>0.65585699422281</v>
      </c>
      <c r="AD255" s="5">
        <f t="shared" si="43"/>
        <v>0.635144963443321</v>
      </c>
      <c r="AE255" s="5">
        <f t="shared" si="43"/>
        <v>0.486948491340737</v>
      </c>
      <c r="AF255" s="5">
        <f t="shared" si="43"/>
        <v>0.480232298832747</v>
      </c>
      <c r="AG255" s="5">
        <f t="shared" si="43"/>
        <v>0.462111463881862</v>
      </c>
      <c r="AH255" s="5">
        <f t="shared" si="42"/>
        <v>0.344526512134057</v>
      </c>
      <c r="AI255" s="5">
        <f t="shared" si="42"/>
        <v>0.286053526186722</v>
      </c>
      <c r="AJ255" s="5">
        <f t="shared" si="42"/>
        <v>0.267636408002995</v>
      </c>
    </row>
    <row r="256" spans="1:36">
      <c r="A256" t="str">
        <f>"non-electricity_archetype_"&amp;TEXT(ROUND(Table3[[#This Row],[2016]],1),"0.0")</f>
        <v>non-electricity_archetype_4.8</v>
      </c>
      <c r="B256" s="5">
        <f t="shared" si="36"/>
        <v>4.8</v>
      </c>
      <c r="C256" s="5">
        <f t="shared" si="44"/>
        <v>4.8</v>
      </c>
      <c r="D256" s="5">
        <f t="shared" si="44"/>
        <v>4.8</v>
      </c>
      <c r="E256" s="5">
        <f t="shared" si="44"/>
        <v>4.8</v>
      </c>
      <c r="F256" s="5">
        <f t="shared" si="44"/>
        <v>4.8</v>
      </c>
      <c r="G256" s="5">
        <f t="shared" si="44"/>
        <v>4.69708017859456</v>
      </c>
      <c r="H256" s="5">
        <f t="shared" si="44"/>
        <v>4.74994774932647</v>
      </c>
      <c r="I256" s="5">
        <f t="shared" si="44"/>
        <v>4.73647325167834</v>
      </c>
      <c r="J256" s="5">
        <f t="shared" si="44"/>
        <v>4.70857750762021</v>
      </c>
      <c r="K256" s="5">
        <f t="shared" si="44"/>
        <v>4.6922990346657</v>
      </c>
      <c r="L256" s="5">
        <f t="shared" si="44"/>
        <v>4.38925631278799</v>
      </c>
      <c r="M256" s="5">
        <f t="shared" si="44"/>
        <v>4.34999875851528</v>
      </c>
      <c r="N256" s="5">
        <f t="shared" si="44"/>
        <v>4.32165986176808</v>
      </c>
      <c r="O256" s="5">
        <f t="shared" si="44"/>
        <v>4.28011101064891</v>
      </c>
      <c r="P256" s="5">
        <f t="shared" si="44"/>
        <v>4.10062225518814</v>
      </c>
      <c r="Q256" s="5">
        <f t="shared" si="44"/>
        <v>3.82455050749992</v>
      </c>
      <c r="R256" s="5">
        <f t="shared" si="44"/>
        <v>3.33497681155224</v>
      </c>
      <c r="S256" s="5">
        <f t="shared" si="43"/>
        <v>3.10626790889492</v>
      </c>
      <c r="T256" s="5">
        <f t="shared" si="43"/>
        <v>2.8462064468337</v>
      </c>
      <c r="U256" s="5">
        <f t="shared" si="43"/>
        <v>2.19782779539106</v>
      </c>
      <c r="V256" s="5">
        <f t="shared" si="43"/>
        <v>2.12604955597336</v>
      </c>
      <c r="W256" s="5">
        <f t="shared" si="43"/>
        <v>1.69035299111175</v>
      </c>
      <c r="X256" s="5">
        <f t="shared" si="43"/>
        <v>1.5201386514761</v>
      </c>
      <c r="Y256" s="5">
        <f t="shared" si="43"/>
        <v>1.32988394695274</v>
      </c>
      <c r="Z256" s="5">
        <f t="shared" si="43"/>
        <v>1.24151164001433</v>
      </c>
      <c r="AA256" s="5">
        <f t="shared" si="43"/>
        <v>1.06164304334128</v>
      </c>
      <c r="AB256" s="5">
        <f t="shared" si="43"/>
        <v>0.773144038870207</v>
      </c>
      <c r="AC256" s="5">
        <f t="shared" si="43"/>
        <v>0.647476378614603</v>
      </c>
      <c r="AD256" s="5">
        <f t="shared" si="43"/>
        <v>0.627211463662017</v>
      </c>
      <c r="AE256" s="5">
        <f t="shared" si="43"/>
        <v>0.482214146141309</v>
      </c>
      <c r="AF256" s="5">
        <f t="shared" si="43"/>
        <v>0.475642937773157</v>
      </c>
      <c r="AG256" s="5">
        <f t="shared" si="43"/>
        <v>0.457913281851962</v>
      </c>
      <c r="AH256" s="5">
        <f t="shared" si="42"/>
        <v>0.34286666608346</v>
      </c>
      <c r="AI256" s="5">
        <f t="shared" si="42"/>
        <v>0.285655951216235</v>
      </c>
      <c r="AJ256" s="5">
        <f t="shared" si="42"/>
        <v>0.267636408002995</v>
      </c>
    </row>
    <row r="257" spans="1:36">
      <c r="A257" t="str">
        <f>"non-electricity_archetype_"&amp;TEXT(ROUND(Table3[[#This Row],[2016]],1),"0.0")</f>
        <v>non-electricity_archetype_4.7</v>
      </c>
      <c r="B257" s="5">
        <f t="shared" si="36"/>
        <v>4.7</v>
      </c>
      <c r="C257" s="5">
        <f t="shared" si="44"/>
        <v>4.7</v>
      </c>
      <c r="D257" s="5">
        <f t="shared" si="44"/>
        <v>4.7</v>
      </c>
      <c r="E257" s="5">
        <f t="shared" si="44"/>
        <v>4.7</v>
      </c>
      <c r="F257" s="5">
        <f t="shared" si="44"/>
        <v>4.7</v>
      </c>
      <c r="G257" s="5">
        <f t="shared" si="44"/>
        <v>4.59935095452231</v>
      </c>
      <c r="H257" s="5">
        <f t="shared" si="44"/>
        <v>4.65105207932246</v>
      </c>
      <c r="I257" s="5">
        <f t="shared" si="44"/>
        <v>4.63787487683555</v>
      </c>
      <c r="J257" s="5">
        <f t="shared" si="44"/>
        <v>4.6105946117321</v>
      </c>
      <c r="K257" s="5">
        <f t="shared" si="44"/>
        <v>4.59467529956917</v>
      </c>
      <c r="L257" s="5">
        <f t="shared" si="44"/>
        <v>4.29831877388307</v>
      </c>
      <c r="M257" s="5">
        <f t="shared" si="44"/>
        <v>4.25992738035575</v>
      </c>
      <c r="N257" s="5">
        <f t="shared" si="44"/>
        <v>4.23221374008174</v>
      </c>
      <c r="O257" s="5">
        <f t="shared" si="44"/>
        <v>4.19158160383497</v>
      </c>
      <c r="P257" s="5">
        <f t="shared" si="44"/>
        <v>4.01605300628778</v>
      </c>
      <c r="Q257" s="5">
        <f t="shared" si="44"/>
        <v>3.74607237953645</v>
      </c>
      <c r="R257" s="5">
        <f t="shared" si="44"/>
        <v>3.26730041398861</v>
      </c>
      <c r="S257" s="5">
        <f t="shared" si="43"/>
        <v>3.04363764008982</v>
      </c>
      <c r="T257" s="5">
        <f t="shared" si="43"/>
        <v>2.78931405533661</v>
      </c>
      <c r="U257" s="5">
        <f t="shared" si="43"/>
        <v>2.15524093429288</v>
      </c>
      <c r="V257" s="5">
        <f t="shared" si="43"/>
        <v>2.08504637716282</v>
      </c>
      <c r="W257" s="5">
        <f t="shared" si="43"/>
        <v>1.65896282229076</v>
      </c>
      <c r="X257" s="5">
        <f t="shared" si="43"/>
        <v>1.4925040140943</v>
      </c>
      <c r="Y257" s="5">
        <f t="shared" si="43"/>
        <v>1.30644700246696</v>
      </c>
      <c r="Z257" s="5">
        <f t="shared" si="43"/>
        <v>1.22002450174213</v>
      </c>
      <c r="AA257" s="5">
        <f t="shared" si="43"/>
        <v>1.04412444362567</v>
      </c>
      <c r="AB257" s="5">
        <f t="shared" si="43"/>
        <v>0.761990749408615</v>
      </c>
      <c r="AC257" s="5">
        <f t="shared" si="43"/>
        <v>0.639095763006396</v>
      </c>
      <c r="AD257" s="5">
        <f t="shared" si="43"/>
        <v>0.619277963880712</v>
      </c>
      <c r="AE257" s="5">
        <f t="shared" si="43"/>
        <v>0.477479800941881</v>
      </c>
      <c r="AF257" s="5">
        <f t="shared" si="43"/>
        <v>0.471053576713566</v>
      </c>
      <c r="AG257" s="5">
        <f t="shared" si="43"/>
        <v>0.453715099822061</v>
      </c>
      <c r="AH257" s="5">
        <f t="shared" si="42"/>
        <v>0.341206820032862</v>
      </c>
      <c r="AI257" s="5">
        <f t="shared" si="42"/>
        <v>0.285258376245749</v>
      </c>
      <c r="AJ257" s="5">
        <f t="shared" si="42"/>
        <v>0.267636408002995</v>
      </c>
    </row>
    <row r="258" spans="1:36">
      <c r="A258" t="str">
        <f>"non-electricity_archetype_"&amp;TEXT(ROUND(Table3[[#This Row],[2016]],1),"0.0")</f>
        <v>non-electricity_archetype_4.6</v>
      </c>
      <c r="B258" s="5">
        <f t="shared" si="36"/>
        <v>4.6</v>
      </c>
      <c r="C258" s="5">
        <f t="shared" si="44"/>
        <v>4.6</v>
      </c>
      <c r="D258" s="5">
        <f t="shared" si="44"/>
        <v>4.6</v>
      </c>
      <c r="E258" s="5">
        <f t="shared" si="44"/>
        <v>4.6</v>
      </c>
      <c r="F258" s="5">
        <f t="shared" si="44"/>
        <v>4.6</v>
      </c>
      <c r="G258" s="5">
        <f t="shared" si="44"/>
        <v>4.50162173045007</v>
      </c>
      <c r="H258" s="5">
        <f t="shared" si="44"/>
        <v>4.55215640931844</v>
      </c>
      <c r="I258" s="5">
        <f t="shared" si="44"/>
        <v>4.53927650199276</v>
      </c>
      <c r="J258" s="5">
        <f t="shared" si="44"/>
        <v>4.51261171584398</v>
      </c>
      <c r="K258" s="5">
        <f t="shared" si="44"/>
        <v>4.49705156447264</v>
      </c>
      <c r="L258" s="5">
        <f t="shared" si="44"/>
        <v>4.20738123497814</v>
      </c>
      <c r="M258" s="5">
        <f t="shared" si="44"/>
        <v>4.16985600219623</v>
      </c>
      <c r="N258" s="5">
        <f t="shared" si="44"/>
        <v>4.1427676183954</v>
      </c>
      <c r="O258" s="5">
        <f t="shared" si="44"/>
        <v>4.10305219702103</v>
      </c>
      <c r="P258" s="5">
        <f t="shared" si="44"/>
        <v>3.93148375738742</v>
      </c>
      <c r="Q258" s="5">
        <f t="shared" si="44"/>
        <v>3.66759425157299</v>
      </c>
      <c r="R258" s="5">
        <f t="shared" si="44"/>
        <v>3.19962401642498</v>
      </c>
      <c r="S258" s="5">
        <f t="shared" si="43"/>
        <v>2.98100737128473</v>
      </c>
      <c r="T258" s="5">
        <f t="shared" si="43"/>
        <v>2.73242166383951</v>
      </c>
      <c r="U258" s="5">
        <f t="shared" si="43"/>
        <v>2.11265407319471</v>
      </c>
      <c r="V258" s="5">
        <f t="shared" si="43"/>
        <v>2.04404319835228</v>
      </c>
      <c r="W258" s="5">
        <f t="shared" si="43"/>
        <v>1.62757265346978</v>
      </c>
      <c r="X258" s="5">
        <f t="shared" si="43"/>
        <v>1.4648693767125</v>
      </c>
      <c r="Y258" s="5">
        <f t="shared" si="43"/>
        <v>1.28301005798119</v>
      </c>
      <c r="Z258" s="5">
        <f t="shared" si="43"/>
        <v>1.19853736346993</v>
      </c>
      <c r="AA258" s="5">
        <f t="shared" si="43"/>
        <v>1.02660584391005</v>
      </c>
      <c r="AB258" s="5">
        <f t="shared" si="43"/>
        <v>0.750837459947024</v>
      </c>
      <c r="AC258" s="5">
        <f t="shared" si="43"/>
        <v>0.630715147398188</v>
      </c>
      <c r="AD258" s="5">
        <f t="shared" si="43"/>
        <v>0.611344464099407</v>
      </c>
      <c r="AE258" s="5">
        <f t="shared" si="43"/>
        <v>0.472745455742454</v>
      </c>
      <c r="AF258" s="5">
        <f t="shared" si="43"/>
        <v>0.466464215653976</v>
      </c>
      <c r="AG258" s="5">
        <f t="shared" si="43"/>
        <v>0.449516917792161</v>
      </c>
      <c r="AH258" s="5">
        <f t="shared" si="42"/>
        <v>0.339546973982265</v>
      </c>
      <c r="AI258" s="5">
        <f t="shared" si="42"/>
        <v>0.284860801275262</v>
      </c>
      <c r="AJ258" s="5">
        <f t="shared" si="42"/>
        <v>0.267636408002995</v>
      </c>
    </row>
    <row r="259" spans="1:36">
      <c r="A259" t="str">
        <f>"non-electricity_archetype_"&amp;TEXT(ROUND(Table3[[#This Row],[2016]],1),"0.0")</f>
        <v>non-electricity_archetype_4.5</v>
      </c>
      <c r="B259" s="5">
        <f t="shared" si="36"/>
        <v>4.5</v>
      </c>
      <c r="C259" s="5">
        <f t="shared" si="44"/>
        <v>4.5</v>
      </c>
      <c r="D259" s="5">
        <f t="shared" si="44"/>
        <v>4.5</v>
      </c>
      <c r="E259" s="5">
        <f t="shared" si="44"/>
        <v>4.5</v>
      </c>
      <c r="F259" s="5">
        <f t="shared" si="44"/>
        <v>4.5</v>
      </c>
      <c r="G259" s="5">
        <f t="shared" si="44"/>
        <v>4.40389250637783</v>
      </c>
      <c r="H259" s="5">
        <f t="shared" si="44"/>
        <v>4.45326073931443</v>
      </c>
      <c r="I259" s="5">
        <f t="shared" si="44"/>
        <v>4.44067812714997</v>
      </c>
      <c r="J259" s="5">
        <f t="shared" si="44"/>
        <v>4.41462881995587</v>
      </c>
      <c r="K259" s="5">
        <f t="shared" si="44"/>
        <v>4.39942782937611</v>
      </c>
      <c r="L259" s="5">
        <f t="shared" si="44"/>
        <v>4.11644369607321</v>
      </c>
      <c r="M259" s="5">
        <f t="shared" si="44"/>
        <v>4.0797846240367</v>
      </c>
      <c r="N259" s="5">
        <f t="shared" si="44"/>
        <v>4.05332149670905</v>
      </c>
      <c r="O259" s="5">
        <f t="shared" si="44"/>
        <v>4.01452279020709</v>
      </c>
      <c r="P259" s="5">
        <f t="shared" si="44"/>
        <v>3.84691450848707</v>
      </c>
      <c r="Q259" s="5">
        <f t="shared" si="44"/>
        <v>3.58911612360952</v>
      </c>
      <c r="R259" s="5">
        <f t="shared" ref="R259:AG274" si="45">(($B259-$AJ$3)*((R$3-$AJ$3)/($B$3-$AJ$3)))+$AJ$3</f>
        <v>3.13194761886134</v>
      </c>
      <c r="S259" s="5">
        <f t="shared" si="45"/>
        <v>2.91837710247964</v>
      </c>
      <c r="T259" s="5">
        <f t="shared" si="45"/>
        <v>2.67552927234242</v>
      </c>
      <c r="U259" s="5">
        <f t="shared" si="45"/>
        <v>2.07006721209653</v>
      </c>
      <c r="V259" s="5">
        <f t="shared" si="45"/>
        <v>2.00304001954174</v>
      </c>
      <c r="W259" s="5">
        <f t="shared" si="45"/>
        <v>1.59618248464879</v>
      </c>
      <c r="X259" s="5">
        <f t="shared" si="45"/>
        <v>1.4372347393307</v>
      </c>
      <c r="Y259" s="5">
        <f t="shared" si="45"/>
        <v>1.25957311349542</v>
      </c>
      <c r="Z259" s="5">
        <f t="shared" si="45"/>
        <v>1.17705022519772</v>
      </c>
      <c r="AA259" s="5">
        <f t="shared" si="45"/>
        <v>1.00908724419443</v>
      </c>
      <c r="AB259" s="5">
        <f t="shared" si="45"/>
        <v>0.739684170485432</v>
      </c>
      <c r="AC259" s="5">
        <f t="shared" si="45"/>
        <v>0.622334531789981</v>
      </c>
      <c r="AD259" s="5">
        <f t="shared" si="45"/>
        <v>0.603410964318102</v>
      </c>
      <c r="AE259" s="5">
        <f t="shared" si="45"/>
        <v>0.468011110543026</v>
      </c>
      <c r="AF259" s="5">
        <f t="shared" si="45"/>
        <v>0.461874854594386</v>
      </c>
      <c r="AG259" s="5">
        <f t="shared" si="45"/>
        <v>0.445318735762261</v>
      </c>
      <c r="AH259" s="5">
        <f t="shared" si="42"/>
        <v>0.337887127931668</v>
      </c>
      <c r="AI259" s="5">
        <f t="shared" si="42"/>
        <v>0.284463226304775</v>
      </c>
      <c r="AJ259" s="5">
        <f t="shared" si="42"/>
        <v>0.267636408002995</v>
      </c>
    </row>
    <row r="260" spans="1:36">
      <c r="A260" t="str">
        <f>"non-electricity_archetype_"&amp;TEXT(ROUND(Table3[[#This Row],[2016]],1),"0.0")</f>
        <v>non-electricity_archetype_4.4</v>
      </c>
      <c r="B260" s="5">
        <f t="shared" si="36"/>
        <v>4.4</v>
      </c>
      <c r="C260" s="5">
        <f t="shared" ref="C260:R275" si="46">(($B260-$AJ$3)*((C$3-$AJ$3)/($B$3-$AJ$3)))+$AJ$3</f>
        <v>4.4</v>
      </c>
      <c r="D260" s="5">
        <f t="shared" si="46"/>
        <v>4.4</v>
      </c>
      <c r="E260" s="5">
        <f t="shared" si="46"/>
        <v>4.4</v>
      </c>
      <c r="F260" s="5">
        <f t="shared" si="46"/>
        <v>4.4</v>
      </c>
      <c r="G260" s="5">
        <f t="shared" si="46"/>
        <v>4.30616328230558</v>
      </c>
      <c r="H260" s="5">
        <f t="shared" si="46"/>
        <v>4.35436506931041</v>
      </c>
      <c r="I260" s="5">
        <f t="shared" si="46"/>
        <v>4.34207975230718</v>
      </c>
      <c r="J260" s="5">
        <f t="shared" si="46"/>
        <v>4.31664592406776</v>
      </c>
      <c r="K260" s="5">
        <f t="shared" si="46"/>
        <v>4.30180409427958</v>
      </c>
      <c r="L260" s="5">
        <f t="shared" si="46"/>
        <v>4.02550615716829</v>
      </c>
      <c r="M260" s="5">
        <f t="shared" si="46"/>
        <v>3.98971324587717</v>
      </c>
      <c r="N260" s="5">
        <f t="shared" si="46"/>
        <v>3.96387537502271</v>
      </c>
      <c r="O260" s="5">
        <f t="shared" si="46"/>
        <v>3.92599338339315</v>
      </c>
      <c r="P260" s="5">
        <f t="shared" si="46"/>
        <v>3.76234525958671</v>
      </c>
      <c r="Q260" s="5">
        <f t="shared" si="46"/>
        <v>3.51063799564606</v>
      </c>
      <c r="R260" s="5">
        <f t="shared" si="46"/>
        <v>3.06427122129771</v>
      </c>
      <c r="S260" s="5">
        <f t="shared" si="45"/>
        <v>2.85574683367454</v>
      </c>
      <c r="T260" s="5">
        <f t="shared" si="45"/>
        <v>2.61863688084532</v>
      </c>
      <c r="U260" s="5">
        <f t="shared" si="45"/>
        <v>2.02748035099835</v>
      </c>
      <c r="V260" s="5">
        <f t="shared" si="45"/>
        <v>1.9620368407312</v>
      </c>
      <c r="W260" s="5">
        <f t="shared" si="45"/>
        <v>1.56479231582781</v>
      </c>
      <c r="X260" s="5">
        <f t="shared" si="45"/>
        <v>1.4096001019489</v>
      </c>
      <c r="Y260" s="5">
        <f t="shared" si="45"/>
        <v>1.23613616900964</v>
      </c>
      <c r="Z260" s="5">
        <f t="shared" si="45"/>
        <v>1.15556308692552</v>
      </c>
      <c r="AA260" s="5">
        <f t="shared" si="45"/>
        <v>0.991568644478817</v>
      </c>
      <c r="AB260" s="5">
        <f t="shared" si="45"/>
        <v>0.728530881023841</v>
      </c>
      <c r="AC260" s="5">
        <f t="shared" si="45"/>
        <v>0.613953916181774</v>
      </c>
      <c r="AD260" s="5">
        <f t="shared" si="45"/>
        <v>0.595477464536797</v>
      </c>
      <c r="AE260" s="5">
        <f t="shared" si="45"/>
        <v>0.463276765343599</v>
      </c>
      <c r="AF260" s="5">
        <f t="shared" si="45"/>
        <v>0.457285493534795</v>
      </c>
      <c r="AG260" s="5">
        <f t="shared" si="45"/>
        <v>0.44112055373236</v>
      </c>
      <c r="AH260" s="5">
        <f t="shared" si="42"/>
        <v>0.336227281881071</v>
      </c>
      <c r="AI260" s="5">
        <f t="shared" si="42"/>
        <v>0.284065651334288</v>
      </c>
      <c r="AJ260" s="5">
        <f t="shared" si="42"/>
        <v>0.267636408002995</v>
      </c>
    </row>
    <row r="261" spans="1:36">
      <c r="A261" t="str">
        <f>"non-electricity_archetype_"&amp;TEXT(ROUND(Table3[[#This Row],[2016]],1),"0.0")</f>
        <v>non-electricity_archetype_4.3</v>
      </c>
      <c r="B261" s="5">
        <f t="shared" si="36"/>
        <v>4.3</v>
      </c>
      <c r="C261" s="5">
        <f t="shared" si="46"/>
        <v>4.3</v>
      </c>
      <c r="D261" s="5">
        <f t="shared" si="46"/>
        <v>4.3</v>
      </c>
      <c r="E261" s="5">
        <f t="shared" si="46"/>
        <v>4.3</v>
      </c>
      <c r="F261" s="5">
        <f t="shared" si="46"/>
        <v>4.3</v>
      </c>
      <c r="G261" s="5">
        <f t="shared" si="46"/>
        <v>4.20843405823334</v>
      </c>
      <c r="H261" s="5">
        <f t="shared" si="46"/>
        <v>4.2554693993064</v>
      </c>
      <c r="I261" s="5">
        <f t="shared" si="46"/>
        <v>4.24348137746439</v>
      </c>
      <c r="J261" s="5">
        <f t="shared" si="46"/>
        <v>4.21866302817964</v>
      </c>
      <c r="K261" s="5">
        <f t="shared" si="46"/>
        <v>4.20418035918305</v>
      </c>
      <c r="L261" s="5">
        <f t="shared" si="46"/>
        <v>3.93456861826336</v>
      </c>
      <c r="M261" s="5">
        <f t="shared" si="46"/>
        <v>3.89964186771765</v>
      </c>
      <c r="N261" s="5">
        <f t="shared" si="46"/>
        <v>3.87442925333637</v>
      </c>
      <c r="O261" s="5">
        <f t="shared" si="46"/>
        <v>3.83746397657921</v>
      </c>
      <c r="P261" s="5">
        <f t="shared" si="46"/>
        <v>3.67777601068635</v>
      </c>
      <c r="Q261" s="5">
        <f t="shared" si="46"/>
        <v>3.43215986768259</v>
      </c>
      <c r="R261" s="5">
        <f t="shared" si="46"/>
        <v>2.99659482373408</v>
      </c>
      <c r="S261" s="5">
        <f t="shared" si="45"/>
        <v>2.79311656486945</v>
      </c>
      <c r="T261" s="5">
        <f t="shared" si="45"/>
        <v>2.56174448934823</v>
      </c>
      <c r="U261" s="5">
        <f t="shared" si="45"/>
        <v>1.98489348990018</v>
      </c>
      <c r="V261" s="5">
        <f t="shared" si="45"/>
        <v>1.92103366192066</v>
      </c>
      <c r="W261" s="5">
        <f t="shared" si="45"/>
        <v>1.53340214700682</v>
      </c>
      <c r="X261" s="5">
        <f t="shared" si="45"/>
        <v>1.3819654645671</v>
      </c>
      <c r="Y261" s="5">
        <f t="shared" si="45"/>
        <v>1.21269922452387</v>
      </c>
      <c r="Z261" s="5">
        <f t="shared" si="45"/>
        <v>1.13407594865332</v>
      </c>
      <c r="AA261" s="5">
        <f t="shared" si="45"/>
        <v>0.9740500447632</v>
      </c>
      <c r="AB261" s="5">
        <f t="shared" si="45"/>
        <v>0.717377591562249</v>
      </c>
      <c r="AC261" s="5">
        <f t="shared" si="45"/>
        <v>0.605573300573566</v>
      </c>
      <c r="AD261" s="5">
        <f t="shared" si="45"/>
        <v>0.587543964755493</v>
      </c>
      <c r="AE261" s="5">
        <f t="shared" si="45"/>
        <v>0.458542420144171</v>
      </c>
      <c r="AF261" s="5">
        <f t="shared" si="45"/>
        <v>0.452696132475205</v>
      </c>
      <c r="AG261" s="5">
        <f t="shared" si="45"/>
        <v>0.43692237170246</v>
      </c>
      <c r="AH261" s="5">
        <f t="shared" si="42"/>
        <v>0.334567435830474</v>
      </c>
      <c r="AI261" s="5">
        <f t="shared" si="42"/>
        <v>0.283668076363801</v>
      </c>
      <c r="AJ261" s="5">
        <f t="shared" si="42"/>
        <v>0.267636408002995</v>
      </c>
    </row>
    <row r="262" spans="1:36">
      <c r="A262" t="str">
        <f>"non-electricity_archetype_"&amp;TEXT(ROUND(Table3[[#This Row],[2016]],1),"0.0")</f>
        <v>non-electricity_archetype_4.2</v>
      </c>
      <c r="B262" s="5">
        <f t="shared" si="36"/>
        <v>4.2</v>
      </c>
      <c r="C262" s="5">
        <f t="shared" si="46"/>
        <v>4.2</v>
      </c>
      <c r="D262" s="5">
        <f t="shared" si="46"/>
        <v>4.2</v>
      </c>
      <c r="E262" s="5">
        <f t="shared" si="46"/>
        <v>4.2</v>
      </c>
      <c r="F262" s="5">
        <f t="shared" si="46"/>
        <v>4.2</v>
      </c>
      <c r="G262" s="5">
        <f t="shared" si="46"/>
        <v>4.11070483416109</v>
      </c>
      <c r="H262" s="5">
        <f t="shared" si="46"/>
        <v>4.15657372930238</v>
      </c>
      <c r="I262" s="5">
        <f t="shared" si="46"/>
        <v>4.1448830026216</v>
      </c>
      <c r="J262" s="5">
        <f t="shared" si="46"/>
        <v>4.12068013229153</v>
      </c>
      <c r="K262" s="5">
        <f t="shared" si="46"/>
        <v>4.10655662408652</v>
      </c>
      <c r="L262" s="5">
        <f t="shared" si="46"/>
        <v>3.84363107935843</v>
      </c>
      <c r="M262" s="5">
        <f t="shared" si="46"/>
        <v>3.80957048955812</v>
      </c>
      <c r="N262" s="5">
        <f t="shared" si="46"/>
        <v>3.78498313165003</v>
      </c>
      <c r="O262" s="5">
        <f t="shared" si="46"/>
        <v>3.74893456976527</v>
      </c>
      <c r="P262" s="5">
        <f t="shared" si="46"/>
        <v>3.59320676178599</v>
      </c>
      <c r="Q262" s="5">
        <f t="shared" si="46"/>
        <v>3.35368173971913</v>
      </c>
      <c r="R262" s="5">
        <f t="shared" si="46"/>
        <v>2.92891842617044</v>
      </c>
      <c r="S262" s="5">
        <f t="shared" si="45"/>
        <v>2.73048629606436</v>
      </c>
      <c r="T262" s="5">
        <f t="shared" si="45"/>
        <v>2.50485209785113</v>
      </c>
      <c r="U262" s="5">
        <f t="shared" si="45"/>
        <v>1.942306628802</v>
      </c>
      <c r="V262" s="5">
        <f t="shared" si="45"/>
        <v>1.88003048311012</v>
      </c>
      <c r="W262" s="5">
        <f t="shared" si="45"/>
        <v>1.50201197818583</v>
      </c>
      <c r="X262" s="5">
        <f t="shared" si="45"/>
        <v>1.3543308271853</v>
      </c>
      <c r="Y262" s="5">
        <f t="shared" si="45"/>
        <v>1.1892622800381</v>
      </c>
      <c r="Z262" s="5">
        <f t="shared" si="45"/>
        <v>1.11258881038112</v>
      </c>
      <c r="AA262" s="5">
        <f t="shared" si="45"/>
        <v>0.956531445047584</v>
      </c>
      <c r="AB262" s="5">
        <f t="shared" si="45"/>
        <v>0.706224302100658</v>
      </c>
      <c r="AC262" s="5">
        <f t="shared" si="45"/>
        <v>0.597192684965359</v>
      </c>
      <c r="AD262" s="5">
        <f t="shared" si="45"/>
        <v>0.579610464974188</v>
      </c>
      <c r="AE262" s="5">
        <f t="shared" si="45"/>
        <v>0.453808074944743</v>
      </c>
      <c r="AF262" s="5">
        <f t="shared" si="45"/>
        <v>0.448106771415615</v>
      </c>
      <c r="AG262" s="5">
        <f t="shared" si="45"/>
        <v>0.432724189672559</v>
      </c>
      <c r="AH262" s="5">
        <f t="shared" si="42"/>
        <v>0.332907589779877</v>
      </c>
      <c r="AI262" s="5">
        <f t="shared" si="42"/>
        <v>0.283270501393314</v>
      </c>
      <c r="AJ262" s="5">
        <f t="shared" si="42"/>
        <v>0.267636408002995</v>
      </c>
    </row>
    <row r="263" spans="1:36">
      <c r="A263" t="str">
        <f>"non-electricity_archetype_"&amp;TEXT(ROUND(Table3[[#This Row],[2016]],1),"0.0")</f>
        <v>non-electricity_archetype_4.1</v>
      </c>
      <c r="B263" s="5">
        <f t="shared" si="36"/>
        <v>4.1</v>
      </c>
      <c r="C263" s="5">
        <f t="shared" si="46"/>
        <v>4.1</v>
      </c>
      <c r="D263" s="5">
        <f t="shared" si="46"/>
        <v>4.1</v>
      </c>
      <c r="E263" s="5">
        <f t="shared" si="46"/>
        <v>4.1</v>
      </c>
      <c r="F263" s="5">
        <f t="shared" si="46"/>
        <v>4.1</v>
      </c>
      <c r="G263" s="5">
        <f t="shared" si="46"/>
        <v>4.01297561008885</v>
      </c>
      <c r="H263" s="5">
        <f t="shared" si="46"/>
        <v>4.05767805929837</v>
      </c>
      <c r="I263" s="5">
        <f t="shared" si="46"/>
        <v>4.04628462777881</v>
      </c>
      <c r="J263" s="5">
        <f t="shared" si="46"/>
        <v>4.02269723640341</v>
      </c>
      <c r="K263" s="5">
        <f t="shared" si="46"/>
        <v>4.00893288898999</v>
      </c>
      <c r="L263" s="5">
        <f t="shared" si="46"/>
        <v>3.75269354045351</v>
      </c>
      <c r="M263" s="5">
        <f t="shared" si="46"/>
        <v>3.7194991113986</v>
      </c>
      <c r="N263" s="5">
        <f t="shared" si="46"/>
        <v>3.69553700996369</v>
      </c>
      <c r="O263" s="5">
        <f t="shared" si="46"/>
        <v>3.66040516295133</v>
      </c>
      <c r="P263" s="5">
        <f t="shared" si="46"/>
        <v>3.50863751288563</v>
      </c>
      <c r="Q263" s="5">
        <f t="shared" si="46"/>
        <v>3.27520361175566</v>
      </c>
      <c r="R263" s="5">
        <f t="shared" si="46"/>
        <v>2.86124202860681</v>
      </c>
      <c r="S263" s="5">
        <f t="shared" si="45"/>
        <v>2.66785602725926</v>
      </c>
      <c r="T263" s="5">
        <f t="shared" si="45"/>
        <v>2.44795970635404</v>
      </c>
      <c r="U263" s="5">
        <f t="shared" si="45"/>
        <v>1.89971976770383</v>
      </c>
      <c r="V263" s="5">
        <f t="shared" si="45"/>
        <v>1.83902730429958</v>
      </c>
      <c r="W263" s="5">
        <f t="shared" si="45"/>
        <v>1.47062180936485</v>
      </c>
      <c r="X263" s="5">
        <f t="shared" si="45"/>
        <v>1.3266961898035</v>
      </c>
      <c r="Y263" s="5">
        <f t="shared" si="45"/>
        <v>1.16582533555232</v>
      </c>
      <c r="Z263" s="5">
        <f t="shared" si="45"/>
        <v>1.09110167210892</v>
      </c>
      <c r="AA263" s="5">
        <f t="shared" si="45"/>
        <v>0.939012845331968</v>
      </c>
      <c r="AB263" s="5">
        <f t="shared" si="45"/>
        <v>0.695071012639066</v>
      </c>
      <c r="AC263" s="5">
        <f t="shared" si="45"/>
        <v>0.588812069357151</v>
      </c>
      <c r="AD263" s="5">
        <f t="shared" si="45"/>
        <v>0.571676965192883</v>
      </c>
      <c r="AE263" s="5">
        <f t="shared" si="45"/>
        <v>0.449073729745316</v>
      </c>
      <c r="AF263" s="5">
        <f t="shared" si="45"/>
        <v>0.443517410356024</v>
      </c>
      <c r="AG263" s="5">
        <f t="shared" si="45"/>
        <v>0.428526007642659</v>
      </c>
      <c r="AH263" s="5">
        <f t="shared" si="42"/>
        <v>0.33124774372928</v>
      </c>
      <c r="AI263" s="5">
        <f t="shared" si="42"/>
        <v>0.282872926422827</v>
      </c>
      <c r="AJ263" s="5">
        <f t="shared" si="42"/>
        <v>0.267636408002995</v>
      </c>
    </row>
    <row r="264" spans="1:36">
      <c r="A264" t="str">
        <f>"non-electricity_archetype_"&amp;TEXT(ROUND(Table3[[#This Row],[2016]],1),"0.0")</f>
        <v>non-electricity_archetype_4.0</v>
      </c>
      <c r="B264" s="5">
        <f t="shared" si="36"/>
        <v>4</v>
      </c>
      <c r="C264" s="5">
        <f t="shared" si="46"/>
        <v>4</v>
      </c>
      <c r="D264" s="5">
        <f t="shared" si="46"/>
        <v>4</v>
      </c>
      <c r="E264" s="5">
        <f t="shared" si="46"/>
        <v>4</v>
      </c>
      <c r="F264" s="5">
        <f t="shared" si="46"/>
        <v>4</v>
      </c>
      <c r="G264" s="5">
        <f t="shared" si="46"/>
        <v>3.91524638601661</v>
      </c>
      <c r="H264" s="5">
        <f t="shared" si="46"/>
        <v>3.95878238929435</v>
      </c>
      <c r="I264" s="5">
        <f t="shared" si="46"/>
        <v>3.94768625293602</v>
      </c>
      <c r="J264" s="5">
        <f t="shared" si="46"/>
        <v>3.9247143405153</v>
      </c>
      <c r="K264" s="5">
        <f t="shared" si="46"/>
        <v>3.91130915389346</v>
      </c>
      <c r="L264" s="5">
        <f t="shared" si="46"/>
        <v>3.66175600154858</v>
      </c>
      <c r="M264" s="5">
        <f t="shared" si="46"/>
        <v>3.62942773323907</v>
      </c>
      <c r="N264" s="5">
        <f t="shared" si="46"/>
        <v>3.60609088827735</v>
      </c>
      <c r="O264" s="5">
        <f t="shared" si="46"/>
        <v>3.57187575613739</v>
      </c>
      <c r="P264" s="5">
        <f t="shared" si="46"/>
        <v>3.42406826398528</v>
      </c>
      <c r="Q264" s="5">
        <f t="shared" si="46"/>
        <v>3.1967254837922</v>
      </c>
      <c r="R264" s="5">
        <f t="shared" si="46"/>
        <v>2.79356563104318</v>
      </c>
      <c r="S264" s="5">
        <f t="shared" si="45"/>
        <v>2.60522575845417</v>
      </c>
      <c r="T264" s="5">
        <f t="shared" si="45"/>
        <v>2.39106731485695</v>
      </c>
      <c r="U264" s="5">
        <f t="shared" si="45"/>
        <v>1.85713290660565</v>
      </c>
      <c r="V264" s="5">
        <f t="shared" si="45"/>
        <v>1.79802412548904</v>
      </c>
      <c r="W264" s="5">
        <f t="shared" si="45"/>
        <v>1.43923164054386</v>
      </c>
      <c r="X264" s="5">
        <f t="shared" si="45"/>
        <v>1.2990615524217</v>
      </c>
      <c r="Y264" s="5">
        <f t="shared" si="45"/>
        <v>1.14238839106655</v>
      </c>
      <c r="Z264" s="5">
        <f t="shared" si="45"/>
        <v>1.06961453383671</v>
      </c>
      <c r="AA264" s="5">
        <f t="shared" si="45"/>
        <v>0.921494245616351</v>
      </c>
      <c r="AB264" s="5">
        <f t="shared" si="45"/>
        <v>0.683917723177475</v>
      </c>
      <c r="AC264" s="5">
        <f t="shared" si="45"/>
        <v>0.580431453748944</v>
      </c>
      <c r="AD264" s="5">
        <f t="shared" si="45"/>
        <v>0.563743465411578</v>
      </c>
      <c r="AE264" s="5">
        <f t="shared" si="45"/>
        <v>0.444339384545888</v>
      </c>
      <c r="AF264" s="5">
        <f t="shared" si="45"/>
        <v>0.438928049296434</v>
      </c>
      <c r="AG264" s="5">
        <f t="shared" si="45"/>
        <v>0.424327825612759</v>
      </c>
      <c r="AH264" s="5">
        <f t="shared" si="42"/>
        <v>0.329587897678682</v>
      </c>
      <c r="AI264" s="5">
        <f t="shared" si="42"/>
        <v>0.28247535145234</v>
      </c>
      <c r="AJ264" s="5">
        <f t="shared" si="42"/>
        <v>0.267636408002995</v>
      </c>
    </row>
    <row r="265" spans="1:36">
      <c r="A265" t="str">
        <f>"non-electricity_archetype_"&amp;TEXT(ROUND(Table3[[#This Row],[2016]],1),"0.0")</f>
        <v>non-electricity_archetype_3.9</v>
      </c>
      <c r="B265" s="5">
        <f t="shared" si="36"/>
        <v>3.9</v>
      </c>
      <c r="C265" s="5">
        <f t="shared" si="46"/>
        <v>3.9</v>
      </c>
      <c r="D265" s="5">
        <f t="shared" si="46"/>
        <v>3.9</v>
      </c>
      <c r="E265" s="5">
        <f t="shared" si="46"/>
        <v>3.9</v>
      </c>
      <c r="F265" s="5">
        <f t="shared" si="46"/>
        <v>3.9</v>
      </c>
      <c r="G265" s="5">
        <f t="shared" si="46"/>
        <v>3.81751716194436</v>
      </c>
      <c r="H265" s="5">
        <f t="shared" si="46"/>
        <v>3.85988671929034</v>
      </c>
      <c r="I265" s="5">
        <f t="shared" si="46"/>
        <v>3.84908787809323</v>
      </c>
      <c r="J265" s="5">
        <f t="shared" si="46"/>
        <v>3.82673144462718</v>
      </c>
      <c r="K265" s="5">
        <f t="shared" si="46"/>
        <v>3.81368541879693</v>
      </c>
      <c r="L265" s="5">
        <f t="shared" si="46"/>
        <v>3.57081846264365</v>
      </c>
      <c r="M265" s="5">
        <f t="shared" si="46"/>
        <v>3.53935635507955</v>
      </c>
      <c r="N265" s="5">
        <f t="shared" si="46"/>
        <v>3.516644766591</v>
      </c>
      <c r="O265" s="5">
        <f t="shared" si="46"/>
        <v>3.48334634932345</v>
      </c>
      <c r="P265" s="5">
        <f t="shared" si="46"/>
        <v>3.33949901508492</v>
      </c>
      <c r="Q265" s="5">
        <f t="shared" si="46"/>
        <v>3.11824735582873</v>
      </c>
      <c r="R265" s="5">
        <f t="shared" si="46"/>
        <v>2.72588923347955</v>
      </c>
      <c r="S265" s="5">
        <f t="shared" si="45"/>
        <v>2.54259548964908</v>
      </c>
      <c r="T265" s="5">
        <f t="shared" si="45"/>
        <v>2.33417492335985</v>
      </c>
      <c r="U265" s="5">
        <f t="shared" si="45"/>
        <v>1.81454604550748</v>
      </c>
      <c r="V265" s="5">
        <f t="shared" si="45"/>
        <v>1.7570209466785</v>
      </c>
      <c r="W265" s="5">
        <f t="shared" si="45"/>
        <v>1.40784147172288</v>
      </c>
      <c r="X265" s="5">
        <f t="shared" si="45"/>
        <v>1.2714269150399</v>
      </c>
      <c r="Y265" s="5">
        <f t="shared" si="45"/>
        <v>1.11895144658078</v>
      </c>
      <c r="Z265" s="5">
        <f t="shared" si="45"/>
        <v>1.04812739556451</v>
      </c>
      <c r="AA265" s="5">
        <f t="shared" si="45"/>
        <v>0.903975645900735</v>
      </c>
      <c r="AB265" s="5">
        <f t="shared" si="45"/>
        <v>0.672764433715883</v>
      </c>
      <c r="AC265" s="5">
        <f t="shared" si="45"/>
        <v>0.572050838140737</v>
      </c>
      <c r="AD265" s="5">
        <f t="shared" si="45"/>
        <v>0.555809965630273</v>
      </c>
      <c r="AE265" s="5">
        <f t="shared" si="45"/>
        <v>0.439605039346461</v>
      </c>
      <c r="AF265" s="5">
        <f t="shared" si="45"/>
        <v>0.434338688236843</v>
      </c>
      <c r="AG265" s="5">
        <f t="shared" si="45"/>
        <v>0.420129643582858</v>
      </c>
      <c r="AH265" s="5">
        <f t="shared" si="42"/>
        <v>0.327928051628085</v>
      </c>
      <c r="AI265" s="5">
        <f t="shared" si="42"/>
        <v>0.282077776481853</v>
      </c>
      <c r="AJ265" s="5">
        <f t="shared" si="42"/>
        <v>0.267636408002995</v>
      </c>
    </row>
    <row r="266" spans="1:36">
      <c r="A266" t="str">
        <f>"non-electricity_archetype_"&amp;TEXT(ROUND(Table3[[#This Row],[2016]],1),"0.0")</f>
        <v>non-electricity_archetype_3.8</v>
      </c>
      <c r="B266" s="5">
        <f t="shared" si="36"/>
        <v>3.8</v>
      </c>
      <c r="C266" s="5">
        <f t="shared" si="46"/>
        <v>3.8</v>
      </c>
      <c r="D266" s="5">
        <f t="shared" si="46"/>
        <v>3.8</v>
      </c>
      <c r="E266" s="5">
        <f t="shared" si="46"/>
        <v>3.8</v>
      </c>
      <c r="F266" s="5">
        <f t="shared" si="46"/>
        <v>3.8</v>
      </c>
      <c r="G266" s="5">
        <f t="shared" si="46"/>
        <v>3.71978793787212</v>
      </c>
      <c r="H266" s="5">
        <f t="shared" si="46"/>
        <v>3.76099104928632</v>
      </c>
      <c r="I266" s="5">
        <f t="shared" si="46"/>
        <v>3.75048950325044</v>
      </c>
      <c r="J266" s="5">
        <f t="shared" si="46"/>
        <v>3.72874854873907</v>
      </c>
      <c r="K266" s="5">
        <f t="shared" si="46"/>
        <v>3.7160616837004</v>
      </c>
      <c r="L266" s="5">
        <f t="shared" si="46"/>
        <v>3.47988092373873</v>
      </c>
      <c r="M266" s="5">
        <f t="shared" si="46"/>
        <v>3.44928497692002</v>
      </c>
      <c r="N266" s="5">
        <f t="shared" si="46"/>
        <v>3.42719864490466</v>
      </c>
      <c r="O266" s="5">
        <f t="shared" si="46"/>
        <v>3.39481694250951</v>
      </c>
      <c r="P266" s="5">
        <f t="shared" si="46"/>
        <v>3.25492976618456</v>
      </c>
      <c r="Q266" s="5">
        <f t="shared" si="46"/>
        <v>3.03976922786527</v>
      </c>
      <c r="R266" s="5">
        <f t="shared" si="46"/>
        <v>2.65821283591591</v>
      </c>
      <c r="S266" s="5">
        <f t="shared" si="45"/>
        <v>2.47996522084398</v>
      </c>
      <c r="T266" s="5">
        <f t="shared" si="45"/>
        <v>2.27728253186276</v>
      </c>
      <c r="U266" s="5">
        <f t="shared" si="45"/>
        <v>1.7719591844093</v>
      </c>
      <c r="V266" s="5">
        <f t="shared" si="45"/>
        <v>1.71601776786796</v>
      </c>
      <c r="W266" s="5">
        <f t="shared" si="45"/>
        <v>1.37645130290189</v>
      </c>
      <c r="X266" s="5">
        <f t="shared" si="45"/>
        <v>1.2437922776581</v>
      </c>
      <c r="Y266" s="5">
        <f t="shared" si="45"/>
        <v>1.095514502095</v>
      </c>
      <c r="Z266" s="5">
        <f t="shared" si="45"/>
        <v>1.02664025729231</v>
      </c>
      <c r="AA266" s="5">
        <f t="shared" si="45"/>
        <v>0.886457046185118</v>
      </c>
      <c r="AB266" s="5">
        <f t="shared" si="45"/>
        <v>0.661611144254292</v>
      </c>
      <c r="AC266" s="5">
        <f t="shared" si="45"/>
        <v>0.563670222532529</v>
      </c>
      <c r="AD266" s="5">
        <f t="shared" si="45"/>
        <v>0.547876465848968</v>
      </c>
      <c r="AE266" s="5">
        <f t="shared" si="45"/>
        <v>0.434870694147033</v>
      </c>
      <c r="AF266" s="5">
        <f t="shared" si="45"/>
        <v>0.429749327177253</v>
      </c>
      <c r="AG266" s="5">
        <f t="shared" si="45"/>
        <v>0.415931461552958</v>
      </c>
      <c r="AH266" s="5">
        <f t="shared" si="42"/>
        <v>0.326268205577488</v>
      </c>
      <c r="AI266" s="5">
        <f t="shared" si="42"/>
        <v>0.281680201511367</v>
      </c>
      <c r="AJ266" s="5">
        <f t="shared" si="42"/>
        <v>0.267636408002995</v>
      </c>
    </row>
    <row r="267" spans="1:36">
      <c r="A267" t="str">
        <f>"non-electricity_archetype_"&amp;TEXT(ROUND(Table3[[#This Row],[2016]],1),"0.0")</f>
        <v>non-electricity_archetype_3.7</v>
      </c>
      <c r="B267" s="5">
        <f t="shared" si="36"/>
        <v>3.7</v>
      </c>
      <c r="C267" s="5">
        <f t="shared" si="46"/>
        <v>3.7</v>
      </c>
      <c r="D267" s="5">
        <f t="shared" si="46"/>
        <v>3.7</v>
      </c>
      <c r="E267" s="5">
        <f t="shared" si="46"/>
        <v>3.7</v>
      </c>
      <c r="F267" s="5">
        <f t="shared" si="46"/>
        <v>3.7</v>
      </c>
      <c r="G267" s="5">
        <f t="shared" si="46"/>
        <v>3.62205871379987</v>
      </c>
      <c r="H267" s="5">
        <f t="shared" si="46"/>
        <v>3.66209537928231</v>
      </c>
      <c r="I267" s="5">
        <f t="shared" si="46"/>
        <v>3.65189112840765</v>
      </c>
      <c r="J267" s="5">
        <f t="shared" si="46"/>
        <v>3.63076565285096</v>
      </c>
      <c r="K267" s="5">
        <f t="shared" si="46"/>
        <v>3.61843794860387</v>
      </c>
      <c r="L267" s="5">
        <f t="shared" si="46"/>
        <v>3.3889433848338</v>
      </c>
      <c r="M267" s="5">
        <f t="shared" si="46"/>
        <v>3.35921359876049</v>
      </c>
      <c r="N267" s="5">
        <f t="shared" si="46"/>
        <v>3.33775252321832</v>
      </c>
      <c r="O267" s="5">
        <f t="shared" si="46"/>
        <v>3.30628753569557</v>
      </c>
      <c r="P267" s="5">
        <f t="shared" si="46"/>
        <v>3.1703605172842</v>
      </c>
      <c r="Q267" s="5">
        <f t="shared" si="46"/>
        <v>2.9612910999018</v>
      </c>
      <c r="R267" s="5">
        <f t="shared" si="46"/>
        <v>2.59053643835228</v>
      </c>
      <c r="S267" s="5">
        <f t="shared" si="45"/>
        <v>2.41733495203889</v>
      </c>
      <c r="T267" s="5">
        <f t="shared" si="45"/>
        <v>2.22039014036566</v>
      </c>
      <c r="U267" s="5">
        <f t="shared" si="45"/>
        <v>1.72937232331112</v>
      </c>
      <c r="V267" s="5">
        <f t="shared" si="45"/>
        <v>1.67501458905742</v>
      </c>
      <c r="W267" s="5">
        <f t="shared" si="45"/>
        <v>1.34506113408091</v>
      </c>
      <c r="X267" s="5">
        <f t="shared" si="45"/>
        <v>1.2161576402763</v>
      </c>
      <c r="Y267" s="5">
        <f t="shared" si="45"/>
        <v>1.07207755760923</v>
      </c>
      <c r="Z267" s="5">
        <f t="shared" si="45"/>
        <v>1.00515311902011</v>
      </c>
      <c r="AA267" s="5">
        <f t="shared" si="45"/>
        <v>0.868938446469502</v>
      </c>
      <c r="AB267" s="5">
        <f t="shared" si="45"/>
        <v>0.6504578547927</v>
      </c>
      <c r="AC267" s="5">
        <f t="shared" si="45"/>
        <v>0.555289606924322</v>
      </c>
      <c r="AD267" s="5">
        <f t="shared" si="45"/>
        <v>0.539942966067664</v>
      </c>
      <c r="AE267" s="5">
        <f t="shared" si="45"/>
        <v>0.430136348947605</v>
      </c>
      <c r="AF267" s="5">
        <f t="shared" si="45"/>
        <v>0.425159966117663</v>
      </c>
      <c r="AG267" s="5">
        <f t="shared" si="45"/>
        <v>0.411733279523057</v>
      </c>
      <c r="AH267" s="5">
        <f t="shared" si="42"/>
        <v>0.324608359526891</v>
      </c>
      <c r="AI267" s="5">
        <f t="shared" si="42"/>
        <v>0.28128262654088</v>
      </c>
      <c r="AJ267" s="5">
        <f t="shared" si="42"/>
        <v>0.267636408002995</v>
      </c>
    </row>
    <row r="268" spans="1:36">
      <c r="A268" t="str">
        <f>"non-electricity_archetype_"&amp;TEXT(ROUND(Table3[[#This Row],[2016]],1),"0.0")</f>
        <v>non-electricity_archetype_3.6</v>
      </c>
      <c r="B268" s="5">
        <f t="shared" si="36"/>
        <v>3.6</v>
      </c>
      <c r="C268" s="5">
        <f t="shared" si="46"/>
        <v>3.6</v>
      </c>
      <c r="D268" s="5">
        <f t="shared" si="46"/>
        <v>3.6</v>
      </c>
      <c r="E268" s="5">
        <f t="shared" si="46"/>
        <v>3.6</v>
      </c>
      <c r="F268" s="5">
        <f t="shared" si="46"/>
        <v>3.6</v>
      </c>
      <c r="G268" s="5">
        <f t="shared" si="46"/>
        <v>3.52432948972763</v>
      </c>
      <c r="H268" s="5">
        <f t="shared" si="46"/>
        <v>3.56319970927829</v>
      </c>
      <c r="I268" s="5">
        <f t="shared" si="46"/>
        <v>3.55329275356486</v>
      </c>
      <c r="J268" s="5">
        <f t="shared" si="46"/>
        <v>3.53278275696284</v>
      </c>
      <c r="K268" s="5">
        <f t="shared" si="46"/>
        <v>3.52081421350734</v>
      </c>
      <c r="L268" s="5">
        <f t="shared" si="46"/>
        <v>3.29800584592887</v>
      </c>
      <c r="M268" s="5">
        <f t="shared" si="46"/>
        <v>3.26914222060097</v>
      </c>
      <c r="N268" s="5">
        <f t="shared" si="46"/>
        <v>3.24830640153198</v>
      </c>
      <c r="O268" s="5">
        <f t="shared" si="46"/>
        <v>3.21775812888163</v>
      </c>
      <c r="P268" s="5">
        <f t="shared" si="46"/>
        <v>3.08579126838384</v>
      </c>
      <c r="Q268" s="5">
        <f t="shared" si="46"/>
        <v>2.88281297193834</v>
      </c>
      <c r="R268" s="5">
        <f t="shared" si="46"/>
        <v>2.52286004078865</v>
      </c>
      <c r="S268" s="5">
        <f t="shared" si="45"/>
        <v>2.35470468323379</v>
      </c>
      <c r="T268" s="5">
        <f t="shared" si="45"/>
        <v>2.16349774886857</v>
      </c>
      <c r="U268" s="5">
        <f t="shared" si="45"/>
        <v>1.68678546221295</v>
      </c>
      <c r="V268" s="5">
        <f t="shared" si="45"/>
        <v>1.63401141024688</v>
      </c>
      <c r="W268" s="5">
        <f t="shared" si="45"/>
        <v>1.31367096525992</v>
      </c>
      <c r="X268" s="5">
        <f t="shared" si="45"/>
        <v>1.1885230028945</v>
      </c>
      <c r="Y268" s="5">
        <f t="shared" si="45"/>
        <v>1.04864061312346</v>
      </c>
      <c r="Z268" s="5">
        <f t="shared" si="45"/>
        <v>0.983665980747907</v>
      </c>
      <c r="AA268" s="5">
        <f t="shared" si="45"/>
        <v>0.851419846753886</v>
      </c>
      <c r="AB268" s="5">
        <f t="shared" si="45"/>
        <v>0.639304565331109</v>
      </c>
      <c r="AC268" s="5">
        <f t="shared" si="45"/>
        <v>0.546908991316115</v>
      </c>
      <c r="AD268" s="5">
        <f t="shared" si="45"/>
        <v>0.532009466286359</v>
      </c>
      <c r="AE268" s="5">
        <f t="shared" si="45"/>
        <v>0.425402003748178</v>
      </c>
      <c r="AF268" s="5">
        <f t="shared" si="45"/>
        <v>0.420570605058072</v>
      </c>
      <c r="AG268" s="5">
        <f t="shared" si="45"/>
        <v>0.407535097493157</v>
      </c>
      <c r="AH268" s="5">
        <f t="shared" si="42"/>
        <v>0.322948513476294</v>
      </c>
      <c r="AI268" s="5">
        <f t="shared" si="42"/>
        <v>0.280885051570393</v>
      </c>
      <c r="AJ268" s="5">
        <f t="shared" si="42"/>
        <v>0.267636408002995</v>
      </c>
    </row>
    <row r="269" spans="1:36">
      <c r="A269" t="str">
        <f>"non-electricity_archetype_"&amp;TEXT(ROUND(Table3[[#This Row],[2016]],1),"0.0")</f>
        <v>non-electricity_archetype_3.5</v>
      </c>
      <c r="B269" s="5">
        <f t="shared" si="36"/>
        <v>3.5</v>
      </c>
      <c r="C269" s="5">
        <f t="shared" si="46"/>
        <v>3.5</v>
      </c>
      <c r="D269" s="5">
        <f t="shared" si="46"/>
        <v>3.5</v>
      </c>
      <c r="E269" s="5">
        <f t="shared" si="46"/>
        <v>3.5</v>
      </c>
      <c r="F269" s="5">
        <f t="shared" si="46"/>
        <v>3.5</v>
      </c>
      <c r="G269" s="5">
        <f t="shared" si="46"/>
        <v>3.42660026565539</v>
      </c>
      <c r="H269" s="5">
        <f t="shared" si="46"/>
        <v>3.46430403927428</v>
      </c>
      <c r="I269" s="5">
        <f t="shared" si="46"/>
        <v>3.45469437872207</v>
      </c>
      <c r="J269" s="5">
        <f t="shared" si="46"/>
        <v>3.43479986107473</v>
      </c>
      <c r="K269" s="5">
        <f t="shared" si="46"/>
        <v>3.42319047841081</v>
      </c>
      <c r="L269" s="5">
        <f t="shared" si="46"/>
        <v>3.20706830702395</v>
      </c>
      <c r="M269" s="5">
        <f t="shared" si="46"/>
        <v>3.17907084244144</v>
      </c>
      <c r="N269" s="5">
        <f t="shared" si="46"/>
        <v>3.15886027984564</v>
      </c>
      <c r="O269" s="5">
        <f t="shared" si="46"/>
        <v>3.12922872206769</v>
      </c>
      <c r="P269" s="5">
        <f t="shared" si="46"/>
        <v>3.00122201948349</v>
      </c>
      <c r="Q269" s="5">
        <f t="shared" si="46"/>
        <v>2.80433484397487</v>
      </c>
      <c r="R269" s="5">
        <f t="shared" si="46"/>
        <v>2.45518364322501</v>
      </c>
      <c r="S269" s="5">
        <f t="shared" si="45"/>
        <v>2.2920744144287</v>
      </c>
      <c r="T269" s="5">
        <f t="shared" si="45"/>
        <v>2.10660535737147</v>
      </c>
      <c r="U269" s="5">
        <f t="shared" si="45"/>
        <v>1.64419860111477</v>
      </c>
      <c r="V269" s="5">
        <f t="shared" si="45"/>
        <v>1.59300823143634</v>
      </c>
      <c r="W269" s="5">
        <f t="shared" si="45"/>
        <v>1.28228079643893</v>
      </c>
      <c r="X269" s="5">
        <f t="shared" si="45"/>
        <v>1.1608883655127</v>
      </c>
      <c r="Y269" s="5">
        <f t="shared" si="45"/>
        <v>1.02520366863768</v>
      </c>
      <c r="Z269" s="5">
        <f t="shared" si="45"/>
        <v>0.962178842475705</v>
      </c>
      <c r="AA269" s="5">
        <f t="shared" si="45"/>
        <v>0.833901247038269</v>
      </c>
      <c r="AB269" s="5">
        <f t="shared" si="45"/>
        <v>0.628151275869517</v>
      </c>
      <c r="AC269" s="5">
        <f t="shared" si="45"/>
        <v>0.538528375707907</v>
      </c>
      <c r="AD269" s="5">
        <f t="shared" si="45"/>
        <v>0.524075966505054</v>
      </c>
      <c r="AE269" s="5">
        <f t="shared" si="45"/>
        <v>0.42066765854875</v>
      </c>
      <c r="AF269" s="5">
        <f t="shared" si="45"/>
        <v>0.415981243998482</v>
      </c>
      <c r="AG269" s="5">
        <f t="shared" si="45"/>
        <v>0.403336915463256</v>
      </c>
      <c r="AH269" s="5">
        <f t="shared" si="42"/>
        <v>0.321288667425697</v>
      </c>
      <c r="AI269" s="5">
        <f t="shared" si="42"/>
        <v>0.280487476599906</v>
      </c>
      <c r="AJ269" s="5">
        <f t="shared" si="42"/>
        <v>0.267636408002995</v>
      </c>
    </row>
    <row r="270" spans="1:36">
      <c r="A270" t="str">
        <f>"non-electricity_archetype_"&amp;TEXT(ROUND(Table3[[#This Row],[2016]],1),"0.0")</f>
        <v>non-electricity_archetype_3.4</v>
      </c>
      <c r="B270" s="5">
        <f t="shared" ref="B270:B301" si="47">MROUND(B269-0.1,0.1)</f>
        <v>3.4</v>
      </c>
      <c r="C270" s="5">
        <f t="shared" si="46"/>
        <v>3.4</v>
      </c>
      <c r="D270" s="5">
        <f t="shared" si="46"/>
        <v>3.4</v>
      </c>
      <c r="E270" s="5">
        <f t="shared" si="46"/>
        <v>3.4</v>
      </c>
      <c r="F270" s="5">
        <f t="shared" si="46"/>
        <v>3.4</v>
      </c>
      <c r="G270" s="5">
        <f t="shared" si="46"/>
        <v>3.32887104158314</v>
      </c>
      <c r="H270" s="5">
        <f t="shared" si="46"/>
        <v>3.36540836927026</v>
      </c>
      <c r="I270" s="5">
        <f t="shared" si="46"/>
        <v>3.35609600387928</v>
      </c>
      <c r="J270" s="5">
        <f t="shared" si="46"/>
        <v>3.33681696518661</v>
      </c>
      <c r="K270" s="5">
        <f t="shared" si="46"/>
        <v>3.32556674331429</v>
      </c>
      <c r="L270" s="5">
        <f t="shared" si="46"/>
        <v>3.11613076811902</v>
      </c>
      <c r="M270" s="5">
        <f t="shared" si="46"/>
        <v>3.08899946428192</v>
      </c>
      <c r="N270" s="5">
        <f t="shared" si="46"/>
        <v>3.0694141581593</v>
      </c>
      <c r="O270" s="5">
        <f t="shared" si="46"/>
        <v>3.04069931525375</v>
      </c>
      <c r="P270" s="5">
        <f t="shared" si="46"/>
        <v>2.91665277058313</v>
      </c>
      <c r="Q270" s="5">
        <f t="shared" si="46"/>
        <v>2.7258567160114</v>
      </c>
      <c r="R270" s="5">
        <f t="shared" si="46"/>
        <v>2.38750724566138</v>
      </c>
      <c r="S270" s="5">
        <f t="shared" si="45"/>
        <v>2.22944414562361</v>
      </c>
      <c r="T270" s="5">
        <f t="shared" si="45"/>
        <v>2.04971296587438</v>
      </c>
      <c r="U270" s="5">
        <f t="shared" si="45"/>
        <v>1.6016117400166</v>
      </c>
      <c r="V270" s="5">
        <f t="shared" si="45"/>
        <v>1.55200505262579</v>
      </c>
      <c r="W270" s="5">
        <f t="shared" si="45"/>
        <v>1.25089062761795</v>
      </c>
      <c r="X270" s="5">
        <f t="shared" si="45"/>
        <v>1.1332537281309</v>
      </c>
      <c r="Y270" s="5">
        <f t="shared" si="45"/>
        <v>1.00176672415191</v>
      </c>
      <c r="Z270" s="5">
        <f t="shared" si="45"/>
        <v>0.940691704203503</v>
      </c>
      <c r="AA270" s="5">
        <f t="shared" si="45"/>
        <v>0.816382647322653</v>
      </c>
      <c r="AB270" s="5">
        <f t="shared" si="45"/>
        <v>0.616997986407926</v>
      </c>
      <c r="AC270" s="5">
        <f t="shared" si="45"/>
        <v>0.5301477600997</v>
      </c>
      <c r="AD270" s="5">
        <f t="shared" si="45"/>
        <v>0.516142466723749</v>
      </c>
      <c r="AE270" s="5">
        <f t="shared" si="45"/>
        <v>0.415933313349323</v>
      </c>
      <c r="AF270" s="5">
        <f t="shared" si="45"/>
        <v>0.411391882938892</v>
      </c>
      <c r="AG270" s="5">
        <f t="shared" si="45"/>
        <v>0.399138733433356</v>
      </c>
      <c r="AH270" s="5">
        <f t="shared" si="42"/>
        <v>0.3196288213751</v>
      </c>
      <c r="AI270" s="5">
        <f t="shared" si="42"/>
        <v>0.280089901629419</v>
      </c>
      <c r="AJ270" s="5">
        <f t="shared" si="42"/>
        <v>0.267636408002995</v>
      </c>
    </row>
    <row r="271" spans="1:36">
      <c r="A271" t="str">
        <f>"non-electricity_archetype_"&amp;TEXT(ROUND(Table3[[#This Row],[2016]],1),"0.0")</f>
        <v>non-electricity_archetype_3.3</v>
      </c>
      <c r="B271" s="5">
        <f t="shared" si="47"/>
        <v>3.3</v>
      </c>
      <c r="C271" s="5">
        <f t="shared" si="46"/>
        <v>3.3</v>
      </c>
      <c r="D271" s="5">
        <f t="shared" si="46"/>
        <v>3.3</v>
      </c>
      <c r="E271" s="5">
        <f t="shared" si="46"/>
        <v>3.3</v>
      </c>
      <c r="F271" s="5">
        <f t="shared" si="46"/>
        <v>3.3</v>
      </c>
      <c r="G271" s="5">
        <f t="shared" si="46"/>
        <v>3.2311418175109</v>
      </c>
      <c r="H271" s="5">
        <f t="shared" si="46"/>
        <v>3.26651269926625</v>
      </c>
      <c r="I271" s="5">
        <f t="shared" si="46"/>
        <v>3.25749762903649</v>
      </c>
      <c r="J271" s="5">
        <f t="shared" si="46"/>
        <v>3.2388340692985</v>
      </c>
      <c r="K271" s="5">
        <f t="shared" si="46"/>
        <v>3.22794300821776</v>
      </c>
      <c r="L271" s="5">
        <f t="shared" si="46"/>
        <v>3.0251932292141</v>
      </c>
      <c r="M271" s="5">
        <f t="shared" si="46"/>
        <v>2.99892808612239</v>
      </c>
      <c r="N271" s="5">
        <f t="shared" si="46"/>
        <v>2.97996803647296</v>
      </c>
      <c r="O271" s="5">
        <f t="shared" si="46"/>
        <v>2.95216990843981</v>
      </c>
      <c r="P271" s="5">
        <f t="shared" si="46"/>
        <v>2.83208352168277</v>
      </c>
      <c r="Q271" s="5">
        <f t="shared" si="46"/>
        <v>2.64737858804794</v>
      </c>
      <c r="R271" s="5">
        <f t="shared" si="46"/>
        <v>2.31983084809775</v>
      </c>
      <c r="S271" s="5">
        <f t="shared" si="45"/>
        <v>2.16681387681851</v>
      </c>
      <c r="T271" s="5">
        <f t="shared" si="45"/>
        <v>1.99282057437729</v>
      </c>
      <c r="U271" s="5">
        <f t="shared" si="45"/>
        <v>1.55902487891842</v>
      </c>
      <c r="V271" s="5">
        <f t="shared" si="45"/>
        <v>1.51100187381525</v>
      </c>
      <c r="W271" s="5">
        <f t="shared" si="45"/>
        <v>1.21950045879696</v>
      </c>
      <c r="X271" s="5">
        <f t="shared" si="45"/>
        <v>1.1056190907491</v>
      </c>
      <c r="Y271" s="5">
        <f t="shared" si="45"/>
        <v>0.978329779666136</v>
      </c>
      <c r="Z271" s="5">
        <f t="shared" si="45"/>
        <v>0.919204565931301</v>
      </c>
      <c r="AA271" s="5">
        <f t="shared" si="45"/>
        <v>0.798864047607037</v>
      </c>
      <c r="AB271" s="5">
        <f t="shared" si="45"/>
        <v>0.605844696946334</v>
      </c>
      <c r="AC271" s="5">
        <f t="shared" si="45"/>
        <v>0.521767144491493</v>
      </c>
      <c r="AD271" s="5">
        <f t="shared" si="45"/>
        <v>0.508208966942444</v>
      </c>
      <c r="AE271" s="5">
        <f t="shared" si="45"/>
        <v>0.411198968149895</v>
      </c>
      <c r="AF271" s="5">
        <f t="shared" si="45"/>
        <v>0.406802521879301</v>
      </c>
      <c r="AG271" s="5">
        <f t="shared" si="45"/>
        <v>0.394940551403456</v>
      </c>
      <c r="AH271" s="5">
        <f t="shared" si="42"/>
        <v>0.317968975324503</v>
      </c>
      <c r="AI271" s="5">
        <f t="shared" si="42"/>
        <v>0.279692326658932</v>
      </c>
      <c r="AJ271" s="5">
        <f t="shared" si="42"/>
        <v>0.267636408002995</v>
      </c>
    </row>
    <row r="272" spans="1:36">
      <c r="A272" t="str">
        <f>"non-electricity_archetype_"&amp;TEXT(ROUND(Table3[[#This Row],[2016]],1),"0.0")</f>
        <v>non-electricity_archetype_3.2</v>
      </c>
      <c r="B272" s="5">
        <f t="shared" si="47"/>
        <v>3.2</v>
      </c>
      <c r="C272" s="5">
        <f t="shared" si="46"/>
        <v>3.2</v>
      </c>
      <c r="D272" s="5">
        <f t="shared" si="46"/>
        <v>3.2</v>
      </c>
      <c r="E272" s="5">
        <f t="shared" si="46"/>
        <v>3.2</v>
      </c>
      <c r="F272" s="5">
        <f t="shared" si="46"/>
        <v>3.2</v>
      </c>
      <c r="G272" s="5">
        <f t="shared" si="46"/>
        <v>3.13341259343865</v>
      </c>
      <c r="H272" s="5">
        <f t="shared" si="46"/>
        <v>3.16761702926223</v>
      </c>
      <c r="I272" s="5">
        <f t="shared" si="46"/>
        <v>3.1588992541937</v>
      </c>
      <c r="J272" s="5">
        <f t="shared" si="46"/>
        <v>3.14085117341039</v>
      </c>
      <c r="K272" s="5">
        <f t="shared" si="46"/>
        <v>3.13031927312123</v>
      </c>
      <c r="L272" s="5">
        <f t="shared" si="46"/>
        <v>2.93425569030917</v>
      </c>
      <c r="M272" s="5">
        <f t="shared" si="46"/>
        <v>2.90885670796287</v>
      </c>
      <c r="N272" s="5">
        <f t="shared" si="46"/>
        <v>2.89052191478661</v>
      </c>
      <c r="O272" s="5">
        <f t="shared" si="46"/>
        <v>2.86364050162587</v>
      </c>
      <c r="P272" s="5">
        <f t="shared" si="46"/>
        <v>2.74751427278241</v>
      </c>
      <c r="Q272" s="5">
        <f t="shared" si="46"/>
        <v>2.56890046008447</v>
      </c>
      <c r="R272" s="5">
        <f t="shared" si="46"/>
        <v>2.25215445053412</v>
      </c>
      <c r="S272" s="5">
        <f t="shared" si="45"/>
        <v>2.10418360801342</v>
      </c>
      <c r="T272" s="5">
        <f t="shared" si="45"/>
        <v>1.93592818288019</v>
      </c>
      <c r="U272" s="5">
        <f t="shared" si="45"/>
        <v>1.51643801782024</v>
      </c>
      <c r="V272" s="5">
        <f t="shared" si="45"/>
        <v>1.46999869500471</v>
      </c>
      <c r="W272" s="5">
        <f t="shared" si="45"/>
        <v>1.18811028997598</v>
      </c>
      <c r="X272" s="5">
        <f t="shared" si="45"/>
        <v>1.0779844533673</v>
      </c>
      <c r="Y272" s="5">
        <f t="shared" si="45"/>
        <v>0.954892835180362</v>
      </c>
      <c r="Z272" s="5">
        <f t="shared" si="45"/>
        <v>0.897717427659099</v>
      </c>
      <c r="AA272" s="5">
        <f t="shared" si="45"/>
        <v>0.78134544789142</v>
      </c>
      <c r="AB272" s="5">
        <f t="shared" si="45"/>
        <v>0.594691407484743</v>
      </c>
      <c r="AC272" s="5">
        <f t="shared" si="45"/>
        <v>0.513386528883285</v>
      </c>
      <c r="AD272" s="5">
        <f t="shared" si="45"/>
        <v>0.500275467161139</v>
      </c>
      <c r="AE272" s="5">
        <f t="shared" si="45"/>
        <v>0.406464622950468</v>
      </c>
      <c r="AF272" s="5">
        <f t="shared" si="45"/>
        <v>0.402213160819711</v>
      </c>
      <c r="AG272" s="5">
        <f t="shared" si="45"/>
        <v>0.390742369373555</v>
      </c>
      <c r="AH272" s="5">
        <f t="shared" si="42"/>
        <v>0.316309129273905</v>
      </c>
      <c r="AI272" s="5">
        <f t="shared" si="42"/>
        <v>0.279294751688445</v>
      </c>
      <c r="AJ272" s="5">
        <f t="shared" si="42"/>
        <v>0.267636408002995</v>
      </c>
    </row>
    <row r="273" spans="1:36">
      <c r="A273" t="str">
        <f>"non-electricity_archetype_"&amp;TEXT(ROUND(Table3[[#This Row],[2016]],1),"0.0")</f>
        <v>non-electricity_archetype_3.1</v>
      </c>
      <c r="B273" s="5">
        <f t="shared" si="47"/>
        <v>3.1</v>
      </c>
      <c r="C273" s="5">
        <f t="shared" si="46"/>
        <v>3.1</v>
      </c>
      <c r="D273" s="5">
        <f t="shared" si="46"/>
        <v>3.1</v>
      </c>
      <c r="E273" s="5">
        <f t="shared" si="46"/>
        <v>3.1</v>
      </c>
      <c r="F273" s="5">
        <f t="shared" si="46"/>
        <v>3.1</v>
      </c>
      <c r="G273" s="5">
        <f t="shared" si="46"/>
        <v>3.03568336936641</v>
      </c>
      <c r="H273" s="5">
        <f t="shared" si="46"/>
        <v>3.06872135925822</v>
      </c>
      <c r="I273" s="5">
        <f t="shared" si="46"/>
        <v>3.06030087935091</v>
      </c>
      <c r="J273" s="5">
        <f t="shared" si="46"/>
        <v>3.04286827752227</v>
      </c>
      <c r="K273" s="5">
        <f t="shared" si="46"/>
        <v>3.0326955380247</v>
      </c>
      <c r="L273" s="5">
        <f t="shared" si="46"/>
        <v>2.84331815140424</v>
      </c>
      <c r="M273" s="5">
        <f t="shared" si="46"/>
        <v>2.81878532980334</v>
      </c>
      <c r="N273" s="5">
        <f t="shared" si="46"/>
        <v>2.80107579310027</v>
      </c>
      <c r="O273" s="5">
        <f t="shared" si="46"/>
        <v>2.77511109481193</v>
      </c>
      <c r="P273" s="5">
        <f t="shared" si="46"/>
        <v>2.66294502388206</v>
      </c>
      <c r="Q273" s="5">
        <f t="shared" si="46"/>
        <v>2.49042233212101</v>
      </c>
      <c r="R273" s="5">
        <f t="shared" si="46"/>
        <v>2.18447805297048</v>
      </c>
      <c r="S273" s="5">
        <f t="shared" si="45"/>
        <v>2.04155333920833</v>
      </c>
      <c r="T273" s="5">
        <f t="shared" si="45"/>
        <v>1.8790357913831</v>
      </c>
      <c r="U273" s="5">
        <f t="shared" si="45"/>
        <v>1.47385115672207</v>
      </c>
      <c r="V273" s="5">
        <f t="shared" si="45"/>
        <v>1.42899551619417</v>
      </c>
      <c r="W273" s="5">
        <f t="shared" si="45"/>
        <v>1.15672012115499</v>
      </c>
      <c r="X273" s="5">
        <f t="shared" si="45"/>
        <v>1.0503498159855</v>
      </c>
      <c r="Y273" s="5">
        <f t="shared" si="45"/>
        <v>0.931455890694589</v>
      </c>
      <c r="Z273" s="5">
        <f t="shared" si="45"/>
        <v>0.876230289386897</v>
      </c>
      <c r="AA273" s="5">
        <f t="shared" si="45"/>
        <v>0.763826848175804</v>
      </c>
      <c r="AB273" s="5">
        <f t="shared" si="45"/>
        <v>0.583538118023151</v>
      </c>
      <c r="AC273" s="5">
        <f t="shared" si="45"/>
        <v>0.505005913275078</v>
      </c>
      <c r="AD273" s="5">
        <f t="shared" si="45"/>
        <v>0.492341967379835</v>
      </c>
      <c r="AE273" s="5">
        <f t="shared" si="45"/>
        <v>0.40173027775104</v>
      </c>
      <c r="AF273" s="5">
        <f t="shared" si="45"/>
        <v>0.397623799760121</v>
      </c>
      <c r="AG273" s="5">
        <f t="shared" si="45"/>
        <v>0.386544187343655</v>
      </c>
      <c r="AH273" s="5">
        <f t="shared" si="42"/>
        <v>0.314649283223308</v>
      </c>
      <c r="AI273" s="5">
        <f t="shared" si="42"/>
        <v>0.278897176717958</v>
      </c>
      <c r="AJ273" s="5">
        <f t="shared" si="42"/>
        <v>0.267636408002995</v>
      </c>
    </row>
    <row r="274" spans="1:36">
      <c r="A274" t="str">
        <f>"non-electricity_archetype_"&amp;TEXT(ROUND(Table3[[#This Row],[2016]],1),"0.0")</f>
        <v>non-electricity_archetype_3.0</v>
      </c>
      <c r="B274" s="5">
        <f t="shared" si="47"/>
        <v>3</v>
      </c>
      <c r="C274" s="5">
        <f t="shared" si="46"/>
        <v>3</v>
      </c>
      <c r="D274" s="5">
        <f t="shared" si="46"/>
        <v>3</v>
      </c>
      <c r="E274" s="5">
        <f t="shared" si="46"/>
        <v>3</v>
      </c>
      <c r="F274" s="5">
        <f t="shared" si="46"/>
        <v>3</v>
      </c>
      <c r="G274" s="5">
        <f t="shared" si="46"/>
        <v>2.93795414529416</v>
      </c>
      <c r="H274" s="5">
        <f t="shared" si="46"/>
        <v>2.9698256892542</v>
      </c>
      <c r="I274" s="5">
        <f t="shared" si="46"/>
        <v>2.96170250450812</v>
      </c>
      <c r="J274" s="5">
        <f t="shared" si="46"/>
        <v>2.94488538163416</v>
      </c>
      <c r="K274" s="5">
        <f t="shared" si="46"/>
        <v>2.93507180292817</v>
      </c>
      <c r="L274" s="5">
        <f t="shared" si="46"/>
        <v>2.75238061249932</v>
      </c>
      <c r="M274" s="5">
        <f t="shared" si="46"/>
        <v>2.72871395164382</v>
      </c>
      <c r="N274" s="5">
        <f t="shared" si="46"/>
        <v>2.71162967141393</v>
      </c>
      <c r="O274" s="5">
        <f t="shared" si="46"/>
        <v>2.68658168799799</v>
      </c>
      <c r="P274" s="5">
        <f t="shared" si="46"/>
        <v>2.5783757749817</v>
      </c>
      <c r="Q274" s="5">
        <f t="shared" si="46"/>
        <v>2.41194420415754</v>
      </c>
      <c r="R274" s="5">
        <f t="shared" si="46"/>
        <v>2.11680165540685</v>
      </c>
      <c r="S274" s="5">
        <f t="shared" si="45"/>
        <v>1.97892307040323</v>
      </c>
      <c r="T274" s="5">
        <f t="shared" si="45"/>
        <v>1.822143399886</v>
      </c>
      <c r="U274" s="5">
        <f t="shared" si="45"/>
        <v>1.43126429562389</v>
      </c>
      <c r="V274" s="5">
        <f t="shared" si="45"/>
        <v>1.38799233738363</v>
      </c>
      <c r="W274" s="5">
        <f t="shared" si="45"/>
        <v>1.12532995233401</v>
      </c>
      <c r="X274" s="5">
        <f t="shared" si="45"/>
        <v>1.0227151786037</v>
      </c>
      <c r="Y274" s="5">
        <f t="shared" si="45"/>
        <v>0.908018946208816</v>
      </c>
      <c r="Z274" s="5">
        <f t="shared" si="45"/>
        <v>0.854743151114695</v>
      </c>
      <c r="AA274" s="5">
        <f t="shared" si="45"/>
        <v>0.746308248460187</v>
      </c>
      <c r="AB274" s="5">
        <f t="shared" si="45"/>
        <v>0.57238482856156</v>
      </c>
      <c r="AC274" s="5">
        <f t="shared" si="45"/>
        <v>0.496625297666871</v>
      </c>
      <c r="AD274" s="5">
        <f t="shared" si="45"/>
        <v>0.48440846759853</v>
      </c>
      <c r="AE274" s="5">
        <f t="shared" si="45"/>
        <v>0.396995932551612</v>
      </c>
      <c r="AF274" s="5">
        <f t="shared" si="45"/>
        <v>0.39303443870053</v>
      </c>
      <c r="AG274" s="5">
        <f t="shared" si="45"/>
        <v>0.382346005313754</v>
      </c>
      <c r="AH274" s="5">
        <f t="shared" si="42"/>
        <v>0.312989437172711</v>
      </c>
      <c r="AI274" s="5">
        <f t="shared" si="42"/>
        <v>0.278499601747471</v>
      </c>
      <c r="AJ274" s="5">
        <f t="shared" si="42"/>
        <v>0.267636408002995</v>
      </c>
    </row>
    <row r="275" spans="1:36">
      <c r="A275" t="str">
        <f>"non-electricity_archetype_"&amp;TEXT(ROUND(Table3[[#This Row],[2016]],1),"0.0")</f>
        <v>non-electricity_archetype_2.9</v>
      </c>
      <c r="B275" s="5">
        <f t="shared" si="47"/>
        <v>2.9</v>
      </c>
      <c r="C275" s="5">
        <f t="shared" si="46"/>
        <v>2.9</v>
      </c>
      <c r="D275" s="5">
        <f t="shared" si="46"/>
        <v>2.9</v>
      </c>
      <c r="E275" s="5">
        <f t="shared" si="46"/>
        <v>2.9</v>
      </c>
      <c r="F275" s="5">
        <f t="shared" si="46"/>
        <v>2.9</v>
      </c>
      <c r="G275" s="5">
        <f t="shared" si="46"/>
        <v>2.84022492122192</v>
      </c>
      <c r="H275" s="5">
        <f t="shared" si="46"/>
        <v>2.87093001925019</v>
      </c>
      <c r="I275" s="5">
        <f t="shared" si="46"/>
        <v>2.86310412966533</v>
      </c>
      <c r="J275" s="5">
        <f t="shared" si="46"/>
        <v>2.84690248574604</v>
      </c>
      <c r="K275" s="5">
        <f t="shared" si="46"/>
        <v>2.83744806783164</v>
      </c>
      <c r="L275" s="5">
        <f t="shared" si="46"/>
        <v>2.66144307359439</v>
      </c>
      <c r="M275" s="5">
        <f t="shared" si="46"/>
        <v>2.63864257348429</v>
      </c>
      <c r="N275" s="5">
        <f t="shared" si="46"/>
        <v>2.62218354972759</v>
      </c>
      <c r="O275" s="5">
        <f t="shared" si="46"/>
        <v>2.59805228118406</v>
      </c>
      <c r="P275" s="5">
        <f t="shared" si="46"/>
        <v>2.49380652608134</v>
      </c>
      <c r="Q275" s="5">
        <f t="shared" si="46"/>
        <v>2.33346607619408</v>
      </c>
      <c r="R275" s="5">
        <f t="shared" ref="R275:AG290" si="48">(($B275-$AJ$3)*((R$3-$AJ$3)/($B$3-$AJ$3)))+$AJ$3</f>
        <v>2.04912525784322</v>
      </c>
      <c r="S275" s="5">
        <f t="shared" si="48"/>
        <v>1.91629280159814</v>
      </c>
      <c r="T275" s="5">
        <f t="shared" si="48"/>
        <v>1.76525100838891</v>
      </c>
      <c r="U275" s="5">
        <f t="shared" si="48"/>
        <v>1.38867743452572</v>
      </c>
      <c r="V275" s="5">
        <f t="shared" si="48"/>
        <v>1.34698915857309</v>
      </c>
      <c r="W275" s="5">
        <f t="shared" si="48"/>
        <v>1.09393978351302</v>
      </c>
      <c r="X275" s="5">
        <f t="shared" si="48"/>
        <v>0.995080541221895</v>
      </c>
      <c r="Y275" s="5">
        <f t="shared" si="48"/>
        <v>0.884582001723042</v>
      </c>
      <c r="Z275" s="5">
        <f t="shared" si="48"/>
        <v>0.833256012842493</v>
      </c>
      <c r="AA275" s="5">
        <f t="shared" si="48"/>
        <v>0.728789648744571</v>
      </c>
      <c r="AB275" s="5">
        <f t="shared" si="48"/>
        <v>0.561231539099968</v>
      </c>
      <c r="AC275" s="5">
        <f t="shared" si="48"/>
        <v>0.488244682058663</v>
      </c>
      <c r="AD275" s="5">
        <f t="shared" si="48"/>
        <v>0.476474967817225</v>
      </c>
      <c r="AE275" s="5">
        <f t="shared" si="48"/>
        <v>0.392261587352185</v>
      </c>
      <c r="AF275" s="5">
        <f t="shared" si="48"/>
        <v>0.38844507764094</v>
      </c>
      <c r="AG275" s="5">
        <f t="shared" si="48"/>
        <v>0.378147823283854</v>
      </c>
      <c r="AH275" s="5">
        <f t="shared" si="42"/>
        <v>0.311329591122114</v>
      </c>
      <c r="AI275" s="5">
        <f t="shared" si="42"/>
        <v>0.278102026776985</v>
      </c>
      <c r="AJ275" s="5">
        <f t="shared" si="42"/>
        <v>0.267636408002995</v>
      </c>
    </row>
    <row r="276" spans="1:36">
      <c r="A276" t="str">
        <f>"non-electricity_archetype_"&amp;TEXT(ROUND(Table3[[#This Row],[2016]],1),"0.0")</f>
        <v>non-electricity_archetype_2.8</v>
      </c>
      <c r="B276" s="5">
        <f t="shared" si="47"/>
        <v>2.8</v>
      </c>
      <c r="C276" s="5">
        <f t="shared" ref="C276:R291" si="49">(($B276-$AJ$3)*((C$3-$AJ$3)/($B$3-$AJ$3)))+$AJ$3</f>
        <v>2.8</v>
      </c>
      <c r="D276" s="5">
        <f t="shared" si="49"/>
        <v>2.8</v>
      </c>
      <c r="E276" s="5">
        <f t="shared" si="49"/>
        <v>2.8</v>
      </c>
      <c r="F276" s="5">
        <f t="shared" si="49"/>
        <v>2.8</v>
      </c>
      <c r="G276" s="5">
        <f t="shared" si="49"/>
        <v>2.74249569714968</v>
      </c>
      <c r="H276" s="5">
        <f t="shared" si="49"/>
        <v>2.77203434924617</v>
      </c>
      <c r="I276" s="5">
        <f t="shared" si="49"/>
        <v>2.76450575482254</v>
      </c>
      <c r="J276" s="5">
        <f t="shared" si="49"/>
        <v>2.74891958985793</v>
      </c>
      <c r="K276" s="5">
        <f t="shared" si="49"/>
        <v>2.73982433273511</v>
      </c>
      <c r="L276" s="5">
        <f t="shared" si="49"/>
        <v>2.57050553468946</v>
      </c>
      <c r="M276" s="5">
        <f t="shared" si="49"/>
        <v>2.54857119532476</v>
      </c>
      <c r="N276" s="5">
        <f t="shared" si="49"/>
        <v>2.53273742804125</v>
      </c>
      <c r="O276" s="5">
        <f t="shared" si="49"/>
        <v>2.50952287437012</v>
      </c>
      <c r="P276" s="5">
        <f t="shared" si="49"/>
        <v>2.40923727718098</v>
      </c>
      <c r="Q276" s="5">
        <f t="shared" si="49"/>
        <v>2.25498794823061</v>
      </c>
      <c r="R276" s="5">
        <f t="shared" si="49"/>
        <v>1.98144886027958</v>
      </c>
      <c r="S276" s="5">
        <f t="shared" si="48"/>
        <v>1.85366253279304</v>
      </c>
      <c r="T276" s="5">
        <f t="shared" si="48"/>
        <v>1.70835861689181</v>
      </c>
      <c r="U276" s="5">
        <f t="shared" si="48"/>
        <v>1.34609057342754</v>
      </c>
      <c r="V276" s="5">
        <f t="shared" si="48"/>
        <v>1.30598597976255</v>
      </c>
      <c r="W276" s="5">
        <f t="shared" si="48"/>
        <v>1.06254961469203</v>
      </c>
      <c r="X276" s="5">
        <f t="shared" si="48"/>
        <v>0.967445903840095</v>
      </c>
      <c r="Y276" s="5">
        <f t="shared" si="48"/>
        <v>0.861145057237269</v>
      </c>
      <c r="Z276" s="5">
        <f t="shared" si="48"/>
        <v>0.811768874570291</v>
      </c>
      <c r="AA276" s="5">
        <f t="shared" si="48"/>
        <v>0.711271049028955</v>
      </c>
      <c r="AB276" s="5">
        <f t="shared" si="48"/>
        <v>0.550078249638377</v>
      </c>
      <c r="AC276" s="5">
        <f t="shared" si="48"/>
        <v>0.479864066450456</v>
      </c>
      <c r="AD276" s="5">
        <f t="shared" si="48"/>
        <v>0.46854146803592</v>
      </c>
      <c r="AE276" s="5">
        <f t="shared" si="48"/>
        <v>0.387527242152757</v>
      </c>
      <c r="AF276" s="5">
        <f t="shared" si="48"/>
        <v>0.383855716581349</v>
      </c>
      <c r="AG276" s="5">
        <f t="shared" si="48"/>
        <v>0.373949641253954</v>
      </c>
      <c r="AH276" s="5">
        <f t="shared" si="42"/>
        <v>0.309669745071517</v>
      </c>
      <c r="AI276" s="5">
        <f t="shared" si="42"/>
        <v>0.277704451806498</v>
      </c>
      <c r="AJ276" s="5">
        <f t="shared" si="42"/>
        <v>0.267636408002995</v>
      </c>
    </row>
    <row r="277" spans="1:36">
      <c r="A277" t="str">
        <f>"non-electricity_archetype_"&amp;TEXT(ROUND(Table3[[#This Row],[2016]],1),"0.0")</f>
        <v>non-electricity_archetype_2.7</v>
      </c>
      <c r="B277" s="5">
        <f t="shared" si="47"/>
        <v>2.7</v>
      </c>
      <c r="C277" s="5">
        <f t="shared" si="49"/>
        <v>2.7</v>
      </c>
      <c r="D277" s="5">
        <f t="shared" si="49"/>
        <v>2.7</v>
      </c>
      <c r="E277" s="5">
        <f t="shared" si="49"/>
        <v>2.7</v>
      </c>
      <c r="F277" s="5">
        <f t="shared" si="49"/>
        <v>2.7</v>
      </c>
      <c r="G277" s="5">
        <f t="shared" si="49"/>
        <v>2.64476647307743</v>
      </c>
      <c r="H277" s="5">
        <f t="shared" si="49"/>
        <v>2.67313867924216</v>
      </c>
      <c r="I277" s="5">
        <f t="shared" si="49"/>
        <v>2.66590737997975</v>
      </c>
      <c r="J277" s="5">
        <f t="shared" si="49"/>
        <v>2.65093669396981</v>
      </c>
      <c r="K277" s="5">
        <f t="shared" si="49"/>
        <v>2.64220059763858</v>
      </c>
      <c r="L277" s="5">
        <f t="shared" si="49"/>
        <v>2.47956799578454</v>
      </c>
      <c r="M277" s="5">
        <f t="shared" si="49"/>
        <v>2.45849981716524</v>
      </c>
      <c r="N277" s="5">
        <f t="shared" si="49"/>
        <v>2.44329130635491</v>
      </c>
      <c r="O277" s="5">
        <f t="shared" si="49"/>
        <v>2.42099346755618</v>
      </c>
      <c r="P277" s="5">
        <f t="shared" si="49"/>
        <v>2.32466802828063</v>
      </c>
      <c r="Q277" s="5">
        <f t="shared" si="49"/>
        <v>2.17650982026715</v>
      </c>
      <c r="R277" s="5">
        <f t="shared" si="49"/>
        <v>1.91377246271595</v>
      </c>
      <c r="S277" s="5">
        <f t="shared" si="48"/>
        <v>1.79103226398795</v>
      </c>
      <c r="T277" s="5">
        <f t="shared" si="48"/>
        <v>1.65146622539472</v>
      </c>
      <c r="U277" s="5">
        <f t="shared" si="48"/>
        <v>1.30350371232936</v>
      </c>
      <c r="V277" s="5">
        <f t="shared" si="48"/>
        <v>1.26498280095201</v>
      </c>
      <c r="W277" s="5">
        <f t="shared" si="48"/>
        <v>1.03115944587105</v>
      </c>
      <c r="X277" s="5">
        <f t="shared" si="48"/>
        <v>0.939811266458295</v>
      </c>
      <c r="Y277" s="5">
        <f t="shared" si="48"/>
        <v>0.837708112751495</v>
      </c>
      <c r="Z277" s="5">
        <f t="shared" si="48"/>
        <v>0.790281736298089</v>
      </c>
      <c r="AA277" s="5">
        <f t="shared" si="48"/>
        <v>0.693752449313338</v>
      </c>
      <c r="AB277" s="5">
        <f t="shared" si="48"/>
        <v>0.538924960176785</v>
      </c>
      <c r="AC277" s="5">
        <f t="shared" si="48"/>
        <v>0.471483450842249</v>
      </c>
      <c r="AD277" s="5">
        <f t="shared" si="48"/>
        <v>0.460607968254615</v>
      </c>
      <c r="AE277" s="5">
        <f t="shared" si="48"/>
        <v>0.38279289695333</v>
      </c>
      <c r="AF277" s="5">
        <f t="shared" si="48"/>
        <v>0.379266355521759</v>
      </c>
      <c r="AG277" s="5">
        <f t="shared" si="48"/>
        <v>0.369751459224053</v>
      </c>
      <c r="AH277" s="5">
        <f t="shared" si="42"/>
        <v>0.30800989902092</v>
      </c>
      <c r="AI277" s="5">
        <f t="shared" si="42"/>
        <v>0.277306876836011</v>
      </c>
      <c r="AJ277" s="5">
        <f t="shared" si="42"/>
        <v>0.267636408002995</v>
      </c>
    </row>
    <row r="278" spans="1:36">
      <c r="A278" t="str">
        <f>"non-electricity_archetype_"&amp;TEXT(ROUND(Table3[[#This Row],[2016]],1),"0.0")</f>
        <v>non-electricity_archetype_2.6</v>
      </c>
      <c r="B278" s="5">
        <f t="shared" si="47"/>
        <v>2.6</v>
      </c>
      <c r="C278" s="5">
        <f t="shared" si="49"/>
        <v>2.6</v>
      </c>
      <c r="D278" s="5">
        <f t="shared" si="49"/>
        <v>2.6</v>
      </c>
      <c r="E278" s="5">
        <f t="shared" si="49"/>
        <v>2.6</v>
      </c>
      <c r="F278" s="5">
        <f t="shared" si="49"/>
        <v>2.6</v>
      </c>
      <c r="G278" s="5">
        <f t="shared" si="49"/>
        <v>2.54703724900519</v>
      </c>
      <c r="H278" s="5">
        <f t="shared" si="49"/>
        <v>2.57424300923814</v>
      </c>
      <c r="I278" s="5">
        <f t="shared" si="49"/>
        <v>2.56730900513696</v>
      </c>
      <c r="J278" s="5">
        <f t="shared" si="49"/>
        <v>2.5529537980817</v>
      </c>
      <c r="K278" s="5">
        <f t="shared" si="49"/>
        <v>2.54457686254205</v>
      </c>
      <c r="L278" s="5">
        <f t="shared" si="49"/>
        <v>2.38863045687961</v>
      </c>
      <c r="M278" s="5">
        <f t="shared" si="49"/>
        <v>2.36842843900571</v>
      </c>
      <c r="N278" s="5">
        <f t="shared" si="49"/>
        <v>2.35384518466856</v>
      </c>
      <c r="O278" s="5">
        <f t="shared" si="49"/>
        <v>2.33246406074224</v>
      </c>
      <c r="P278" s="5">
        <f t="shared" si="49"/>
        <v>2.24009877938027</v>
      </c>
      <c r="Q278" s="5">
        <f t="shared" si="49"/>
        <v>2.09803169230368</v>
      </c>
      <c r="R278" s="5">
        <f t="shared" si="49"/>
        <v>1.84609606515232</v>
      </c>
      <c r="S278" s="5">
        <f t="shared" si="48"/>
        <v>1.72840199518286</v>
      </c>
      <c r="T278" s="5">
        <f t="shared" si="48"/>
        <v>1.59457383389762</v>
      </c>
      <c r="U278" s="5">
        <f t="shared" si="48"/>
        <v>1.26091685123119</v>
      </c>
      <c r="V278" s="5">
        <f t="shared" si="48"/>
        <v>1.22397962214147</v>
      </c>
      <c r="W278" s="5">
        <f t="shared" si="48"/>
        <v>0.999769277050063</v>
      </c>
      <c r="X278" s="5">
        <f t="shared" si="48"/>
        <v>0.912176629076495</v>
      </c>
      <c r="Y278" s="5">
        <f t="shared" si="48"/>
        <v>0.814271168265722</v>
      </c>
      <c r="Z278" s="5">
        <f t="shared" si="48"/>
        <v>0.768794598025887</v>
      </c>
      <c r="AA278" s="5">
        <f t="shared" si="48"/>
        <v>0.676233849597722</v>
      </c>
      <c r="AB278" s="5">
        <f t="shared" si="48"/>
        <v>0.527771670715194</v>
      </c>
      <c r="AC278" s="5">
        <f t="shared" si="48"/>
        <v>0.463102835234041</v>
      </c>
      <c r="AD278" s="5">
        <f t="shared" si="48"/>
        <v>0.45267446847331</v>
      </c>
      <c r="AE278" s="5">
        <f t="shared" si="48"/>
        <v>0.378058551753902</v>
      </c>
      <c r="AF278" s="5">
        <f t="shared" si="48"/>
        <v>0.374676994462169</v>
      </c>
      <c r="AG278" s="5">
        <f t="shared" si="48"/>
        <v>0.365553277194153</v>
      </c>
      <c r="AH278" s="5">
        <f t="shared" si="42"/>
        <v>0.306350052970323</v>
      </c>
      <c r="AI278" s="5">
        <f t="shared" si="42"/>
        <v>0.276909301865524</v>
      </c>
      <c r="AJ278" s="5">
        <f t="shared" si="42"/>
        <v>0.267636408002995</v>
      </c>
    </row>
    <row r="279" spans="1:36">
      <c r="A279" t="str">
        <f>"non-electricity_archetype_"&amp;TEXT(ROUND(Table3[[#This Row],[2016]],1),"0.0")</f>
        <v>non-electricity_archetype_2.5</v>
      </c>
      <c r="B279" s="5">
        <f t="shared" si="47"/>
        <v>2.5</v>
      </c>
      <c r="C279" s="5">
        <f t="shared" si="49"/>
        <v>2.5</v>
      </c>
      <c r="D279" s="5">
        <f t="shared" si="49"/>
        <v>2.5</v>
      </c>
      <c r="E279" s="5">
        <f t="shared" si="49"/>
        <v>2.5</v>
      </c>
      <c r="F279" s="5">
        <f t="shared" si="49"/>
        <v>2.5</v>
      </c>
      <c r="G279" s="5">
        <f t="shared" si="49"/>
        <v>2.44930802493294</v>
      </c>
      <c r="H279" s="5">
        <f t="shared" si="49"/>
        <v>2.47534733923413</v>
      </c>
      <c r="I279" s="5">
        <f t="shared" si="49"/>
        <v>2.46871063029417</v>
      </c>
      <c r="J279" s="5">
        <f t="shared" si="49"/>
        <v>2.45497090219359</v>
      </c>
      <c r="K279" s="5">
        <f t="shared" si="49"/>
        <v>2.44695312744552</v>
      </c>
      <c r="L279" s="5">
        <f t="shared" si="49"/>
        <v>2.29769291797468</v>
      </c>
      <c r="M279" s="5">
        <f t="shared" si="49"/>
        <v>2.27835706084619</v>
      </c>
      <c r="N279" s="5">
        <f t="shared" si="49"/>
        <v>2.26439906298222</v>
      </c>
      <c r="O279" s="5">
        <f t="shared" si="49"/>
        <v>2.2439346539283</v>
      </c>
      <c r="P279" s="5">
        <f t="shared" si="49"/>
        <v>2.15552953047991</v>
      </c>
      <c r="Q279" s="5">
        <f t="shared" si="49"/>
        <v>2.01955356434022</v>
      </c>
      <c r="R279" s="5">
        <f t="shared" si="49"/>
        <v>1.77841966758868</v>
      </c>
      <c r="S279" s="5">
        <f t="shared" si="48"/>
        <v>1.66577172637776</v>
      </c>
      <c r="T279" s="5">
        <f t="shared" si="48"/>
        <v>1.53768144240053</v>
      </c>
      <c r="U279" s="5">
        <f t="shared" si="48"/>
        <v>1.21832999013301</v>
      </c>
      <c r="V279" s="5">
        <f t="shared" si="48"/>
        <v>1.18297644333093</v>
      </c>
      <c r="W279" s="5">
        <f t="shared" si="48"/>
        <v>0.968379108229077</v>
      </c>
      <c r="X279" s="5">
        <f t="shared" si="48"/>
        <v>0.884541991694695</v>
      </c>
      <c r="Y279" s="5">
        <f t="shared" si="48"/>
        <v>0.790834223779949</v>
      </c>
      <c r="Z279" s="5">
        <f t="shared" si="48"/>
        <v>0.747307459753685</v>
      </c>
      <c r="AA279" s="5">
        <f t="shared" si="48"/>
        <v>0.658715249882106</v>
      </c>
      <c r="AB279" s="5">
        <f t="shared" si="48"/>
        <v>0.516618381253602</v>
      </c>
      <c r="AC279" s="5">
        <f t="shared" si="48"/>
        <v>0.454722219625834</v>
      </c>
      <c r="AD279" s="5">
        <f t="shared" si="48"/>
        <v>0.444740968692006</v>
      </c>
      <c r="AE279" s="5">
        <f t="shared" si="48"/>
        <v>0.373324206554474</v>
      </c>
      <c r="AF279" s="5">
        <f t="shared" si="48"/>
        <v>0.370087633402578</v>
      </c>
      <c r="AG279" s="5">
        <f t="shared" si="48"/>
        <v>0.361355095164252</v>
      </c>
      <c r="AH279" s="5">
        <f t="shared" si="42"/>
        <v>0.304690206919725</v>
      </c>
      <c r="AI279" s="5">
        <f t="shared" si="42"/>
        <v>0.276511726895037</v>
      </c>
      <c r="AJ279" s="5">
        <f t="shared" si="42"/>
        <v>0.267636408002995</v>
      </c>
    </row>
    <row r="280" spans="1:36">
      <c r="A280" t="str">
        <f>"non-electricity_archetype_"&amp;TEXT(ROUND(Table3[[#This Row],[2016]],1),"0.0")</f>
        <v>non-electricity_archetype_2.4</v>
      </c>
      <c r="B280" s="5">
        <f t="shared" si="47"/>
        <v>2.4</v>
      </c>
      <c r="C280" s="5">
        <f t="shared" si="49"/>
        <v>2.4</v>
      </c>
      <c r="D280" s="5">
        <f t="shared" si="49"/>
        <v>2.4</v>
      </c>
      <c r="E280" s="5">
        <f t="shared" si="49"/>
        <v>2.4</v>
      </c>
      <c r="F280" s="5">
        <f t="shared" si="49"/>
        <v>2.4</v>
      </c>
      <c r="G280" s="5">
        <f t="shared" si="49"/>
        <v>2.3515788008607</v>
      </c>
      <c r="H280" s="5">
        <f t="shared" si="49"/>
        <v>2.37645166923011</v>
      </c>
      <c r="I280" s="5">
        <f t="shared" si="49"/>
        <v>2.37011225545138</v>
      </c>
      <c r="J280" s="5">
        <f t="shared" si="49"/>
        <v>2.35698800630547</v>
      </c>
      <c r="K280" s="5">
        <f t="shared" si="49"/>
        <v>2.34932939234899</v>
      </c>
      <c r="L280" s="5">
        <f t="shared" si="49"/>
        <v>2.20675537906976</v>
      </c>
      <c r="M280" s="5">
        <f t="shared" si="49"/>
        <v>2.18828568268666</v>
      </c>
      <c r="N280" s="5">
        <f t="shared" si="49"/>
        <v>2.17495294129588</v>
      </c>
      <c r="O280" s="5">
        <f t="shared" si="49"/>
        <v>2.15540524711436</v>
      </c>
      <c r="P280" s="5">
        <f t="shared" si="49"/>
        <v>2.07096028157955</v>
      </c>
      <c r="Q280" s="5">
        <f t="shared" si="49"/>
        <v>1.94107543637675</v>
      </c>
      <c r="R280" s="5">
        <f t="shared" si="49"/>
        <v>1.71074327002505</v>
      </c>
      <c r="S280" s="5">
        <f t="shared" si="48"/>
        <v>1.60314145757267</v>
      </c>
      <c r="T280" s="5">
        <f t="shared" si="48"/>
        <v>1.48078905090344</v>
      </c>
      <c r="U280" s="5">
        <f t="shared" si="48"/>
        <v>1.17574312903484</v>
      </c>
      <c r="V280" s="5">
        <f t="shared" si="48"/>
        <v>1.14197326452039</v>
      </c>
      <c r="W280" s="5">
        <f t="shared" si="48"/>
        <v>0.936988939408091</v>
      </c>
      <c r="X280" s="5">
        <f t="shared" si="48"/>
        <v>0.856907354312895</v>
      </c>
      <c r="Y280" s="5">
        <f t="shared" si="48"/>
        <v>0.767397279294175</v>
      </c>
      <c r="Z280" s="5">
        <f t="shared" si="48"/>
        <v>0.725820321481483</v>
      </c>
      <c r="AA280" s="5">
        <f t="shared" si="48"/>
        <v>0.641196650166489</v>
      </c>
      <c r="AB280" s="5">
        <f t="shared" si="48"/>
        <v>0.505465091792011</v>
      </c>
      <c r="AC280" s="5">
        <f t="shared" si="48"/>
        <v>0.446341604017627</v>
      </c>
      <c r="AD280" s="5">
        <f t="shared" si="48"/>
        <v>0.436807468910701</v>
      </c>
      <c r="AE280" s="5">
        <f t="shared" si="48"/>
        <v>0.368589861355047</v>
      </c>
      <c r="AF280" s="5">
        <f t="shared" si="48"/>
        <v>0.365498272342988</v>
      </c>
      <c r="AG280" s="5">
        <f t="shared" si="48"/>
        <v>0.357156913134352</v>
      </c>
      <c r="AH280" s="5">
        <f t="shared" si="42"/>
        <v>0.303030360869128</v>
      </c>
      <c r="AI280" s="5">
        <f t="shared" si="42"/>
        <v>0.27611415192455</v>
      </c>
      <c r="AJ280" s="5">
        <f t="shared" si="42"/>
        <v>0.267636408002995</v>
      </c>
    </row>
    <row r="281" spans="1:36">
      <c r="A281" t="str">
        <f>"non-electricity_archetype_"&amp;TEXT(ROUND(Table3[[#This Row],[2016]],1),"0.0")</f>
        <v>non-electricity_archetype_2.3</v>
      </c>
      <c r="B281" s="5">
        <f t="shared" si="47"/>
        <v>2.3</v>
      </c>
      <c r="C281" s="5">
        <f t="shared" si="49"/>
        <v>2.3</v>
      </c>
      <c r="D281" s="5">
        <f t="shared" si="49"/>
        <v>2.3</v>
      </c>
      <c r="E281" s="5">
        <f t="shared" si="49"/>
        <v>2.3</v>
      </c>
      <c r="F281" s="5">
        <f t="shared" si="49"/>
        <v>2.3</v>
      </c>
      <c r="G281" s="5">
        <f t="shared" si="49"/>
        <v>2.25384957678846</v>
      </c>
      <c r="H281" s="5">
        <f t="shared" si="49"/>
        <v>2.2775559992261</v>
      </c>
      <c r="I281" s="5">
        <f t="shared" si="49"/>
        <v>2.27151388060859</v>
      </c>
      <c r="J281" s="5">
        <f t="shared" si="49"/>
        <v>2.25900511041736</v>
      </c>
      <c r="K281" s="5">
        <f t="shared" si="49"/>
        <v>2.25170565725246</v>
      </c>
      <c r="L281" s="5">
        <f t="shared" si="49"/>
        <v>2.11581784016483</v>
      </c>
      <c r="M281" s="5">
        <f t="shared" si="49"/>
        <v>2.09821430452714</v>
      </c>
      <c r="N281" s="5">
        <f t="shared" si="49"/>
        <v>2.08550681960954</v>
      </c>
      <c r="O281" s="5">
        <f t="shared" si="49"/>
        <v>2.06687584030042</v>
      </c>
      <c r="P281" s="5">
        <f t="shared" si="49"/>
        <v>1.98639103267919</v>
      </c>
      <c r="Q281" s="5">
        <f t="shared" si="49"/>
        <v>1.86259730841329</v>
      </c>
      <c r="R281" s="5">
        <f t="shared" si="49"/>
        <v>1.64306687246142</v>
      </c>
      <c r="S281" s="5">
        <f t="shared" si="48"/>
        <v>1.54051118876758</v>
      </c>
      <c r="T281" s="5">
        <f t="shared" si="48"/>
        <v>1.42389665940634</v>
      </c>
      <c r="U281" s="5">
        <f t="shared" si="48"/>
        <v>1.13315626793666</v>
      </c>
      <c r="V281" s="5">
        <f t="shared" si="48"/>
        <v>1.10097008570985</v>
      </c>
      <c r="W281" s="5">
        <f t="shared" si="48"/>
        <v>0.905598770587105</v>
      </c>
      <c r="X281" s="5">
        <f t="shared" si="48"/>
        <v>0.829272716931095</v>
      </c>
      <c r="Y281" s="5">
        <f t="shared" si="48"/>
        <v>0.743960334808402</v>
      </c>
      <c r="Z281" s="5">
        <f t="shared" si="48"/>
        <v>0.704333183209281</v>
      </c>
      <c r="AA281" s="5">
        <f t="shared" si="48"/>
        <v>0.623678050450873</v>
      </c>
      <c r="AB281" s="5">
        <f t="shared" si="48"/>
        <v>0.494311802330419</v>
      </c>
      <c r="AC281" s="5">
        <f t="shared" si="48"/>
        <v>0.437960988409419</v>
      </c>
      <c r="AD281" s="5">
        <f t="shared" si="48"/>
        <v>0.428873969129396</v>
      </c>
      <c r="AE281" s="5">
        <f t="shared" si="48"/>
        <v>0.363855516155619</v>
      </c>
      <c r="AF281" s="5">
        <f t="shared" si="48"/>
        <v>0.360908911283398</v>
      </c>
      <c r="AG281" s="5">
        <f t="shared" si="48"/>
        <v>0.352958731104452</v>
      </c>
      <c r="AH281" s="5">
        <f t="shared" si="42"/>
        <v>0.301370514818531</v>
      </c>
      <c r="AI281" s="5">
        <f t="shared" ref="AI281:AJ281" si="50">(($B281-$AJ$3)*((AI$3-$AJ$3)/($B$3-$AJ$3)))+$AJ$3</f>
        <v>0.275716576954063</v>
      </c>
      <c r="AJ281" s="5">
        <f t="shared" si="50"/>
        <v>0.267636408002995</v>
      </c>
    </row>
    <row r="282" spans="1:36">
      <c r="A282" t="str">
        <f>"non-electricity_archetype_"&amp;TEXT(ROUND(Table3[[#This Row],[2016]],1),"0.0")</f>
        <v>non-electricity_archetype_2.2</v>
      </c>
      <c r="B282" s="5">
        <f t="shared" si="47"/>
        <v>2.2</v>
      </c>
      <c r="C282" s="5">
        <f t="shared" si="49"/>
        <v>2.2</v>
      </c>
      <c r="D282" s="5">
        <f t="shared" si="49"/>
        <v>2.2</v>
      </c>
      <c r="E282" s="5">
        <f t="shared" si="49"/>
        <v>2.2</v>
      </c>
      <c r="F282" s="5">
        <f t="shared" si="49"/>
        <v>2.2</v>
      </c>
      <c r="G282" s="5">
        <f t="shared" si="49"/>
        <v>2.15612035271621</v>
      </c>
      <c r="H282" s="5">
        <f t="shared" si="49"/>
        <v>2.17866032922208</v>
      </c>
      <c r="I282" s="5">
        <f t="shared" si="49"/>
        <v>2.1729155057658</v>
      </c>
      <c r="J282" s="5">
        <f t="shared" si="49"/>
        <v>2.16102221452924</v>
      </c>
      <c r="K282" s="5">
        <f t="shared" si="49"/>
        <v>2.15408192215593</v>
      </c>
      <c r="L282" s="5">
        <f t="shared" si="49"/>
        <v>2.0248803012599</v>
      </c>
      <c r="M282" s="5">
        <f t="shared" si="49"/>
        <v>2.00814292636761</v>
      </c>
      <c r="N282" s="5">
        <f t="shared" si="49"/>
        <v>1.9960606979232</v>
      </c>
      <c r="O282" s="5">
        <f t="shared" si="49"/>
        <v>1.97834643348648</v>
      </c>
      <c r="P282" s="5">
        <f t="shared" si="49"/>
        <v>1.90182178377884</v>
      </c>
      <c r="Q282" s="5">
        <f t="shared" si="49"/>
        <v>1.78411918044982</v>
      </c>
      <c r="R282" s="5">
        <f t="shared" si="49"/>
        <v>1.57539047489779</v>
      </c>
      <c r="S282" s="5">
        <f t="shared" si="48"/>
        <v>1.47788091996248</v>
      </c>
      <c r="T282" s="5">
        <f t="shared" si="48"/>
        <v>1.36700426790925</v>
      </c>
      <c r="U282" s="5">
        <f t="shared" si="48"/>
        <v>1.09056940683848</v>
      </c>
      <c r="V282" s="5">
        <f t="shared" si="48"/>
        <v>1.05996690689931</v>
      </c>
      <c r="W282" s="5">
        <f t="shared" si="48"/>
        <v>0.87420860176612</v>
      </c>
      <c r="X282" s="5">
        <f t="shared" si="48"/>
        <v>0.801638079549295</v>
      </c>
      <c r="Y282" s="5">
        <f t="shared" si="48"/>
        <v>0.720523390322629</v>
      </c>
      <c r="Z282" s="5">
        <f t="shared" si="48"/>
        <v>0.682846044937079</v>
      </c>
      <c r="AA282" s="5">
        <f t="shared" si="48"/>
        <v>0.606159450735256</v>
      </c>
      <c r="AB282" s="5">
        <f t="shared" si="48"/>
        <v>0.483158512868828</v>
      </c>
      <c r="AC282" s="5">
        <f t="shared" si="48"/>
        <v>0.429580372801212</v>
      </c>
      <c r="AD282" s="5">
        <f t="shared" si="48"/>
        <v>0.420940469348091</v>
      </c>
      <c r="AE282" s="5">
        <f t="shared" si="48"/>
        <v>0.359121170956192</v>
      </c>
      <c r="AF282" s="5">
        <f t="shared" si="48"/>
        <v>0.356319550223807</v>
      </c>
      <c r="AG282" s="5">
        <f t="shared" si="48"/>
        <v>0.348760549074551</v>
      </c>
      <c r="AH282" s="5">
        <f t="shared" ref="AH282:AJ301" si="51">(($B282-$AJ$3)*((AH$3-$AJ$3)/($B$3-$AJ$3)))+$AJ$3</f>
        <v>0.299710668767934</v>
      </c>
      <c r="AI282" s="5">
        <f t="shared" si="51"/>
        <v>0.275319001983576</v>
      </c>
      <c r="AJ282" s="5">
        <f t="shared" si="51"/>
        <v>0.267636408002995</v>
      </c>
    </row>
    <row r="283" spans="1:36">
      <c r="A283" t="str">
        <f>"non-electricity_archetype_"&amp;TEXT(ROUND(Table3[[#This Row],[2016]],1),"0.0")</f>
        <v>non-electricity_archetype_2.1</v>
      </c>
      <c r="B283" s="5">
        <f t="shared" si="47"/>
        <v>2.1</v>
      </c>
      <c r="C283" s="5">
        <f t="shared" si="49"/>
        <v>2.1</v>
      </c>
      <c r="D283" s="5">
        <f t="shared" si="49"/>
        <v>2.1</v>
      </c>
      <c r="E283" s="5">
        <f t="shared" si="49"/>
        <v>2.1</v>
      </c>
      <c r="F283" s="5">
        <f t="shared" si="49"/>
        <v>2.1</v>
      </c>
      <c r="G283" s="5">
        <f t="shared" si="49"/>
        <v>2.05839112864397</v>
      </c>
      <c r="H283" s="5">
        <f t="shared" si="49"/>
        <v>2.07976465921807</v>
      </c>
      <c r="I283" s="5">
        <f t="shared" si="49"/>
        <v>2.07431713092301</v>
      </c>
      <c r="J283" s="5">
        <f t="shared" si="49"/>
        <v>2.06303931864113</v>
      </c>
      <c r="K283" s="5">
        <f t="shared" si="49"/>
        <v>2.0564581870594</v>
      </c>
      <c r="L283" s="5">
        <f t="shared" si="49"/>
        <v>1.93394276235498</v>
      </c>
      <c r="M283" s="5">
        <f t="shared" si="49"/>
        <v>1.91807154820808</v>
      </c>
      <c r="N283" s="5">
        <f t="shared" si="49"/>
        <v>1.90661457623686</v>
      </c>
      <c r="O283" s="5">
        <f t="shared" si="49"/>
        <v>1.88981702667254</v>
      </c>
      <c r="P283" s="5">
        <f t="shared" si="49"/>
        <v>1.81725253487848</v>
      </c>
      <c r="Q283" s="5">
        <f t="shared" si="49"/>
        <v>1.70564105248635</v>
      </c>
      <c r="R283" s="5">
        <f t="shared" si="49"/>
        <v>1.50771407733415</v>
      </c>
      <c r="S283" s="5">
        <f t="shared" si="48"/>
        <v>1.41525065115739</v>
      </c>
      <c r="T283" s="5">
        <f t="shared" si="48"/>
        <v>1.31011187641215</v>
      </c>
      <c r="U283" s="5">
        <f t="shared" si="48"/>
        <v>1.04798254574031</v>
      </c>
      <c r="V283" s="5">
        <f t="shared" si="48"/>
        <v>1.01896372808877</v>
      </c>
      <c r="W283" s="5">
        <f t="shared" si="48"/>
        <v>0.842818432945134</v>
      </c>
      <c r="X283" s="5">
        <f t="shared" si="48"/>
        <v>0.774003442167494</v>
      </c>
      <c r="Y283" s="5">
        <f t="shared" si="48"/>
        <v>0.697086445836855</v>
      </c>
      <c r="Z283" s="5">
        <f t="shared" si="48"/>
        <v>0.661358906664878</v>
      </c>
      <c r="AA283" s="5">
        <f t="shared" si="48"/>
        <v>0.58864085101964</v>
      </c>
      <c r="AB283" s="5">
        <f t="shared" si="48"/>
        <v>0.472005223407236</v>
      </c>
      <c r="AC283" s="5">
        <f t="shared" si="48"/>
        <v>0.421199757193005</v>
      </c>
      <c r="AD283" s="5">
        <f t="shared" si="48"/>
        <v>0.413006969566786</v>
      </c>
      <c r="AE283" s="5">
        <f t="shared" si="48"/>
        <v>0.354386825756764</v>
      </c>
      <c r="AF283" s="5">
        <f t="shared" si="48"/>
        <v>0.351730189164217</v>
      </c>
      <c r="AG283" s="5">
        <f t="shared" si="48"/>
        <v>0.344562367044651</v>
      </c>
      <c r="AH283" s="5">
        <f t="shared" si="51"/>
        <v>0.298050822717337</v>
      </c>
      <c r="AI283" s="5">
        <f t="shared" si="51"/>
        <v>0.274921427013089</v>
      </c>
      <c r="AJ283" s="5">
        <f t="shared" si="51"/>
        <v>0.267636408002995</v>
      </c>
    </row>
    <row r="284" spans="1:36">
      <c r="A284" t="str">
        <f>"non-electricity_archetype_"&amp;TEXT(ROUND(Table3[[#This Row],[2016]],1),"0.0")</f>
        <v>non-electricity_archetype_2.0</v>
      </c>
      <c r="B284" s="5">
        <f t="shared" si="47"/>
        <v>2</v>
      </c>
      <c r="C284" s="5">
        <f t="shared" si="49"/>
        <v>2</v>
      </c>
      <c r="D284" s="5">
        <f t="shared" si="49"/>
        <v>2</v>
      </c>
      <c r="E284" s="5">
        <f t="shared" si="49"/>
        <v>2</v>
      </c>
      <c r="F284" s="5">
        <f t="shared" si="49"/>
        <v>2</v>
      </c>
      <c r="G284" s="5">
        <f t="shared" si="49"/>
        <v>1.96066190457172</v>
      </c>
      <c r="H284" s="5">
        <f t="shared" si="49"/>
        <v>1.98086898921405</v>
      </c>
      <c r="I284" s="5">
        <f t="shared" si="49"/>
        <v>1.97571875608022</v>
      </c>
      <c r="J284" s="5">
        <f t="shared" si="49"/>
        <v>1.96505642275302</v>
      </c>
      <c r="K284" s="5">
        <f t="shared" si="49"/>
        <v>1.95883445196287</v>
      </c>
      <c r="L284" s="5">
        <f t="shared" si="49"/>
        <v>1.84300522345005</v>
      </c>
      <c r="M284" s="5">
        <f t="shared" si="49"/>
        <v>1.82800017004856</v>
      </c>
      <c r="N284" s="5">
        <f t="shared" si="49"/>
        <v>1.81716845455051</v>
      </c>
      <c r="O284" s="5">
        <f t="shared" si="49"/>
        <v>1.8012876198586</v>
      </c>
      <c r="P284" s="5">
        <f t="shared" si="49"/>
        <v>1.73268328597812</v>
      </c>
      <c r="Q284" s="5">
        <f t="shared" si="49"/>
        <v>1.62716292452289</v>
      </c>
      <c r="R284" s="5">
        <f t="shared" si="49"/>
        <v>1.44003767977052</v>
      </c>
      <c r="S284" s="5">
        <f t="shared" si="48"/>
        <v>1.3526203823523</v>
      </c>
      <c r="T284" s="5">
        <f t="shared" si="48"/>
        <v>1.25321948491506</v>
      </c>
      <c r="U284" s="5">
        <f t="shared" si="48"/>
        <v>1.00539568464213</v>
      </c>
      <c r="V284" s="5">
        <f t="shared" si="48"/>
        <v>0.977960549278228</v>
      </c>
      <c r="W284" s="5">
        <f t="shared" si="48"/>
        <v>0.811428264124148</v>
      </c>
      <c r="X284" s="5">
        <f t="shared" si="48"/>
        <v>0.746368804785694</v>
      </c>
      <c r="Y284" s="5">
        <f t="shared" si="48"/>
        <v>0.673649501351082</v>
      </c>
      <c r="Z284" s="5">
        <f t="shared" si="48"/>
        <v>0.639871768392676</v>
      </c>
      <c r="AA284" s="5">
        <f t="shared" si="48"/>
        <v>0.571122251304024</v>
      </c>
      <c r="AB284" s="5">
        <f t="shared" si="48"/>
        <v>0.460851933945645</v>
      </c>
      <c r="AC284" s="5">
        <f t="shared" si="48"/>
        <v>0.412819141584797</v>
      </c>
      <c r="AD284" s="5">
        <f t="shared" si="48"/>
        <v>0.405073469785482</v>
      </c>
      <c r="AE284" s="5">
        <f t="shared" si="48"/>
        <v>0.349652480557336</v>
      </c>
      <c r="AF284" s="5">
        <f t="shared" si="48"/>
        <v>0.347140828104626</v>
      </c>
      <c r="AG284" s="5">
        <f t="shared" si="48"/>
        <v>0.34036418501475</v>
      </c>
      <c r="AH284" s="5">
        <f t="shared" si="51"/>
        <v>0.29639097666674</v>
      </c>
      <c r="AI284" s="5">
        <f t="shared" si="51"/>
        <v>0.274523852042603</v>
      </c>
      <c r="AJ284" s="5">
        <f t="shared" si="51"/>
        <v>0.267636408002995</v>
      </c>
    </row>
    <row r="285" spans="1:36">
      <c r="A285" t="str">
        <f>"non-electricity_archetype_"&amp;TEXT(ROUND(Table3[[#This Row],[2016]],1),"0.0")</f>
        <v>non-electricity_archetype_1.9</v>
      </c>
      <c r="B285" s="5">
        <f t="shared" si="47"/>
        <v>1.9</v>
      </c>
      <c r="C285" s="5">
        <f t="shared" si="49"/>
        <v>1.9</v>
      </c>
      <c r="D285" s="5">
        <f t="shared" si="49"/>
        <v>1.9</v>
      </c>
      <c r="E285" s="5">
        <f t="shared" si="49"/>
        <v>1.9</v>
      </c>
      <c r="F285" s="5">
        <f t="shared" si="49"/>
        <v>1.9</v>
      </c>
      <c r="G285" s="5">
        <f t="shared" si="49"/>
        <v>1.86293268049948</v>
      </c>
      <c r="H285" s="5">
        <f t="shared" si="49"/>
        <v>1.88197331921004</v>
      </c>
      <c r="I285" s="5">
        <f t="shared" si="49"/>
        <v>1.87712038123743</v>
      </c>
      <c r="J285" s="5">
        <f t="shared" si="49"/>
        <v>1.8670735268649</v>
      </c>
      <c r="K285" s="5">
        <f t="shared" si="49"/>
        <v>1.86121071686634</v>
      </c>
      <c r="L285" s="5">
        <f t="shared" si="49"/>
        <v>1.75206768454513</v>
      </c>
      <c r="M285" s="5">
        <f t="shared" si="49"/>
        <v>1.73792879188903</v>
      </c>
      <c r="N285" s="5">
        <f t="shared" si="49"/>
        <v>1.72772233286417</v>
      </c>
      <c r="O285" s="5">
        <f t="shared" si="49"/>
        <v>1.71275821304466</v>
      </c>
      <c r="P285" s="5">
        <f t="shared" si="49"/>
        <v>1.64811403707776</v>
      </c>
      <c r="Q285" s="5">
        <f t="shared" si="49"/>
        <v>1.54868479655942</v>
      </c>
      <c r="R285" s="5">
        <f t="shared" si="49"/>
        <v>1.37236128220689</v>
      </c>
      <c r="S285" s="5">
        <f t="shared" si="48"/>
        <v>1.2899901135472</v>
      </c>
      <c r="T285" s="5">
        <f t="shared" si="48"/>
        <v>1.19632709341796</v>
      </c>
      <c r="U285" s="5">
        <f t="shared" si="48"/>
        <v>0.962808823543956</v>
      </c>
      <c r="V285" s="5">
        <f t="shared" si="48"/>
        <v>0.936957370467688</v>
      </c>
      <c r="W285" s="5">
        <f t="shared" si="48"/>
        <v>0.780038095303162</v>
      </c>
      <c r="X285" s="5">
        <f t="shared" si="48"/>
        <v>0.718734167403894</v>
      </c>
      <c r="Y285" s="5">
        <f t="shared" si="48"/>
        <v>0.650212556865309</v>
      </c>
      <c r="Z285" s="5">
        <f t="shared" si="48"/>
        <v>0.618384630120474</v>
      </c>
      <c r="AA285" s="5">
        <f t="shared" si="48"/>
        <v>0.553603651588407</v>
      </c>
      <c r="AB285" s="5">
        <f t="shared" si="48"/>
        <v>0.449698644484053</v>
      </c>
      <c r="AC285" s="5">
        <f t="shared" si="48"/>
        <v>0.40443852597659</v>
      </c>
      <c r="AD285" s="5">
        <f t="shared" si="48"/>
        <v>0.397139970004177</v>
      </c>
      <c r="AE285" s="5">
        <f t="shared" si="48"/>
        <v>0.344918135357909</v>
      </c>
      <c r="AF285" s="5">
        <f t="shared" si="48"/>
        <v>0.342551467045036</v>
      </c>
      <c r="AG285" s="5">
        <f t="shared" si="48"/>
        <v>0.33616600298485</v>
      </c>
      <c r="AH285" s="5">
        <f t="shared" si="51"/>
        <v>0.294731130616143</v>
      </c>
      <c r="AI285" s="5">
        <f t="shared" si="51"/>
        <v>0.274126277072116</v>
      </c>
      <c r="AJ285" s="5">
        <f t="shared" si="51"/>
        <v>0.267636408002995</v>
      </c>
    </row>
    <row r="286" spans="1:36">
      <c r="A286" t="str">
        <f>"non-electricity_archetype_"&amp;TEXT(ROUND(Table3[[#This Row],[2016]],1),"0.0")</f>
        <v>non-electricity_archetype_1.8</v>
      </c>
      <c r="B286" s="5">
        <f t="shared" si="47"/>
        <v>1.8</v>
      </c>
      <c r="C286" s="5">
        <f t="shared" si="49"/>
        <v>1.8</v>
      </c>
      <c r="D286" s="5">
        <f t="shared" si="49"/>
        <v>1.8</v>
      </c>
      <c r="E286" s="5">
        <f t="shared" si="49"/>
        <v>1.8</v>
      </c>
      <c r="F286" s="5">
        <f t="shared" si="49"/>
        <v>1.8</v>
      </c>
      <c r="G286" s="5">
        <f t="shared" si="49"/>
        <v>1.76520345642724</v>
      </c>
      <c r="H286" s="5">
        <f t="shared" si="49"/>
        <v>1.78307764920602</v>
      </c>
      <c r="I286" s="5">
        <f t="shared" si="49"/>
        <v>1.77852200639464</v>
      </c>
      <c r="J286" s="5">
        <f t="shared" si="49"/>
        <v>1.76909063097679</v>
      </c>
      <c r="K286" s="5">
        <f t="shared" si="49"/>
        <v>1.76358698176981</v>
      </c>
      <c r="L286" s="5">
        <f t="shared" si="49"/>
        <v>1.6611301456402</v>
      </c>
      <c r="M286" s="5">
        <f t="shared" si="49"/>
        <v>1.64785741372951</v>
      </c>
      <c r="N286" s="5">
        <f t="shared" si="49"/>
        <v>1.63827621117783</v>
      </c>
      <c r="O286" s="5">
        <f t="shared" si="49"/>
        <v>1.62422880623072</v>
      </c>
      <c r="P286" s="5">
        <f t="shared" si="49"/>
        <v>1.5635447881774</v>
      </c>
      <c r="Q286" s="5">
        <f t="shared" si="49"/>
        <v>1.47020666859596</v>
      </c>
      <c r="R286" s="5">
        <f t="shared" si="49"/>
        <v>1.30468488464325</v>
      </c>
      <c r="S286" s="5">
        <f t="shared" si="48"/>
        <v>1.22735984474211</v>
      </c>
      <c r="T286" s="5">
        <f t="shared" si="48"/>
        <v>1.13943470192087</v>
      </c>
      <c r="U286" s="5">
        <f t="shared" si="48"/>
        <v>0.920221962445779</v>
      </c>
      <c r="V286" s="5">
        <f t="shared" si="48"/>
        <v>0.895954191657148</v>
      </c>
      <c r="W286" s="5">
        <f t="shared" si="48"/>
        <v>0.748647926482176</v>
      </c>
      <c r="X286" s="5">
        <f t="shared" si="48"/>
        <v>0.691099530022094</v>
      </c>
      <c r="Y286" s="5">
        <f t="shared" si="48"/>
        <v>0.626775612379535</v>
      </c>
      <c r="Z286" s="5">
        <f t="shared" si="48"/>
        <v>0.596897491848272</v>
      </c>
      <c r="AA286" s="5">
        <f t="shared" si="48"/>
        <v>0.536085051872791</v>
      </c>
      <c r="AB286" s="5">
        <f t="shared" si="48"/>
        <v>0.438545355022462</v>
      </c>
      <c r="AC286" s="5">
        <f t="shared" si="48"/>
        <v>0.396057910368383</v>
      </c>
      <c r="AD286" s="5">
        <f t="shared" si="48"/>
        <v>0.389206470222872</v>
      </c>
      <c r="AE286" s="5">
        <f t="shared" si="48"/>
        <v>0.340183790158481</v>
      </c>
      <c r="AF286" s="5">
        <f t="shared" si="48"/>
        <v>0.337962105985446</v>
      </c>
      <c r="AG286" s="5">
        <f t="shared" si="48"/>
        <v>0.331967820954949</v>
      </c>
      <c r="AH286" s="5">
        <f t="shared" si="51"/>
        <v>0.293071284565545</v>
      </c>
      <c r="AI286" s="5">
        <f t="shared" si="51"/>
        <v>0.273728702101629</v>
      </c>
      <c r="AJ286" s="5">
        <f t="shared" si="51"/>
        <v>0.267636408002995</v>
      </c>
    </row>
    <row r="287" spans="1:36">
      <c r="A287" t="str">
        <f>"non-electricity_archetype_"&amp;TEXT(ROUND(Table3[[#This Row],[2016]],1),"0.0")</f>
        <v>non-electricity_archetype_1.7</v>
      </c>
      <c r="B287" s="5">
        <f t="shared" si="47"/>
        <v>1.7</v>
      </c>
      <c r="C287" s="5">
        <f t="shared" si="49"/>
        <v>1.7</v>
      </c>
      <c r="D287" s="5">
        <f t="shared" si="49"/>
        <v>1.7</v>
      </c>
      <c r="E287" s="5">
        <f t="shared" si="49"/>
        <v>1.7</v>
      </c>
      <c r="F287" s="5">
        <f t="shared" si="49"/>
        <v>1.7</v>
      </c>
      <c r="G287" s="5">
        <f t="shared" si="49"/>
        <v>1.66747423235499</v>
      </c>
      <c r="H287" s="5">
        <f t="shared" si="49"/>
        <v>1.68418197920201</v>
      </c>
      <c r="I287" s="5">
        <f t="shared" si="49"/>
        <v>1.67992363155185</v>
      </c>
      <c r="J287" s="5">
        <f t="shared" si="49"/>
        <v>1.67110773508867</v>
      </c>
      <c r="K287" s="5">
        <f t="shared" si="49"/>
        <v>1.66596324667328</v>
      </c>
      <c r="L287" s="5">
        <f t="shared" si="49"/>
        <v>1.57019260673527</v>
      </c>
      <c r="M287" s="5">
        <f t="shared" si="49"/>
        <v>1.55778603556998</v>
      </c>
      <c r="N287" s="5">
        <f t="shared" si="49"/>
        <v>1.54883008949149</v>
      </c>
      <c r="O287" s="5">
        <f t="shared" si="49"/>
        <v>1.53569939941678</v>
      </c>
      <c r="P287" s="5">
        <f t="shared" si="49"/>
        <v>1.47897553927705</v>
      </c>
      <c r="Q287" s="5">
        <f t="shared" si="49"/>
        <v>1.39172854063249</v>
      </c>
      <c r="R287" s="5">
        <f t="shared" si="49"/>
        <v>1.23700848707962</v>
      </c>
      <c r="S287" s="5">
        <f t="shared" si="48"/>
        <v>1.16472957593701</v>
      </c>
      <c r="T287" s="5">
        <f t="shared" si="48"/>
        <v>1.08254231042377</v>
      </c>
      <c r="U287" s="5">
        <f t="shared" si="48"/>
        <v>0.877635101347603</v>
      </c>
      <c r="V287" s="5">
        <f t="shared" si="48"/>
        <v>0.854951012846607</v>
      </c>
      <c r="W287" s="5">
        <f t="shared" si="48"/>
        <v>0.717257757661191</v>
      </c>
      <c r="X287" s="5">
        <f t="shared" si="48"/>
        <v>0.663464892640294</v>
      </c>
      <c r="Y287" s="5">
        <f t="shared" si="48"/>
        <v>0.603338667893762</v>
      </c>
      <c r="Z287" s="5">
        <f t="shared" si="48"/>
        <v>0.57541035357607</v>
      </c>
      <c r="AA287" s="5">
        <f t="shared" si="48"/>
        <v>0.518566452157175</v>
      </c>
      <c r="AB287" s="5">
        <f t="shared" si="48"/>
        <v>0.42739206556087</v>
      </c>
      <c r="AC287" s="5">
        <f t="shared" si="48"/>
        <v>0.387677294760175</v>
      </c>
      <c r="AD287" s="5">
        <f t="shared" si="48"/>
        <v>0.381272970441567</v>
      </c>
      <c r="AE287" s="5">
        <f t="shared" si="48"/>
        <v>0.335449444959054</v>
      </c>
      <c r="AF287" s="5">
        <f t="shared" si="48"/>
        <v>0.333372744925855</v>
      </c>
      <c r="AG287" s="5">
        <f t="shared" si="48"/>
        <v>0.327769638925049</v>
      </c>
      <c r="AH287" s="5">
        <f t="shared" si="51"/>
        <v>0.291411438514948</v>
      </c>
      <c r="AI287" s="5">
        <f t="shared" si="51"/>
        <v>0.273331127131142</v>
      </c>
      <c r="AJ287" s="5">
        <f t="shared" si="51"/>
        <v>0.267636408002995</v>
      </c>
    </row>
    <row r="288" spans="1:36">
      <c r="A288" t="str">
        <f>"non-electricity_archetype_"&amp;TEXT(ROUND(Table3[[#This Row],[2016]],1),"0.0")</f>
        <v>non-electricity_archetype_1.6</v>
      </c>
      <c r="B288" s="5">
        <f t="shared" si="47"/>
        <v>1.6</v>
      </c>
      <c r="C288" s="5">
        <f t="shared" si="49"/>
        <v>1.6</v>
      </c>
      <c r="D288" s="5">
        <f t="shared" si="49"/>
        <v>1.6</v>
      </c>
      <c r="E288" s="5">
        <f t="shared" si="49"/>
        <v>1.6</v>
      </c>
      <c r="F288" s="5">
        <f t="shared" si="49"/>
        <v>1.6</v>
      </c>
      <c r="G288" s="5">
        <f t="shared" si="49"/>
        <v>1.56974500828275</v>
      </c>
      <c r="H288" s="5">
        <f t="shared" si="49"/>
        <v>1.58528630919799</v>
      </c>
      <c r="I288" s="5">
        <f t="shared" si="49"/>
        <v>1.58132525670906</v>
      </c>
      <c r="J288" s="5">
        <f t="shared" si="49"/>
        <v>1.57312483920056</v>
      </c>
      <c r="K288" s="5">
        <f t="shared" si="49"/>
        <v>1.56833951157676</v>
      </c>
      <c r="L288" s="5">
        <f t="shared" si="49"/>
        <v>1.47925506783035</v>
      </c>
      <c r="M288" s="5">
        <f t="shared" si="49"/>
        <v>1.46771465741046</v>
      </c>
      <c r="N288" s="5">
        <f t="shared" si="49"/>
        <v>1.45938396780515</v>
      </c>
      <c r="O288" s="5">
        <f t="shared" si="49"/>
        <v>1.44716999260284</v>
      </c>
      <c r="P288" s="5">
        <f t="shared" si="49"/>
        <v>1.39440629037669</v>
      </c>
      <c r="Q288" s="5">
        <f t="shared" si="49"/>
        <v>1.31325041266903</v>
      </c>
      <c r="R288" s="5">
        <f t="shared" si="49"/>
        <v>1.16933208951599</v>
      </c>
      <c r="S288" s="5">
        <f t="shared" si="48"/>
        <v>1.10209930713192</v>
      </c>
      <c r="T288" s="5">
        <f t="shared" si="48"/>
        <v>1.02564991892668</v>
      </c>
      <c r="U288" s="5">
        <f t="shared" si="48"/>
        <v>0.835048240249427</v>
      </c>
      <c r="V288" s="5">
        <f t="shared" si="48"/>
        <v>0.813947834036067</v>
      </c>
      <c r="W288" s="5">
        <f t="shared" si="48"/>
        <v>0.685867588840205</v>
      </c>
      <c r="X288" s="5">
        <f t="shared" si="48"/>
        <v>0.635830255258494</v>
      </c>
      <c r="Y288" s="5">
        <f t="shared" si="48"/>
        <v>0.579901723407989</v>
      </c>
      <c r="Z288" s="5">
        <f t="shared" si="48"/>
        <v>0.553923215303868</v>
      </c>
      <c r="AA288" s="5">
        <f t="shared" si="48"/>
        <v>0.501047852441558</v>
      </c>
      <c r="AB288" s="5">
        <f t="shared" si="48"/>
        <v>0.416238776099279</v>
      </c>
      <c r="AC288" s="5">
        <f t="shared" si="48"/>
        <v>0.379296679151968</v>
      </c>
      <c r="AD288" s="5">
        <f t="shared" si="48"/>
        <v>0.373339470660262</v>
      </c>
      <c r="AE288" s="5">
        <f t="shared" si="48"/>
        <v>0.330715099759626</v>
      </c>
      <c r="AF288" s="5">
        <f t="shared" si="48"/>
        <v>0.328783383866265</v>
      </c>
      <c r="AG288" s="5">
        <f t="shared" si="48"/>
        <v>0.323571456895149</v>
      </c>
      <c r="AH288" s="5">
        <f t="shared" si="51"/>
        <v>0.289751592464351</v>
      </c>
      <c r="AI288" s="5">
        <f t="shared" si="51"/>
        <v>0.272933552160655</v>
      </c>
      <c r="AJ288" s="5">
        <f t="shared" si="51"/>
        <v>0.267636408002995</v>
      </c>
    </row>
    <row r="289" spans="1:36">
      <c r="A289" t="str">
        <f>"non-electricity_archetype_"&amp;TEXT(ROUND(Table3[[#This Row],[2016]],1),"0.0")</f>
        <v>non-electricity_archetype_1.5</v>
      </c>
      <c r="B289" s="5">
        <f t="shared" si="47"/>
        <v>1.5</v>
      </c>
      <c r="C289" s="5">
        <f t="shared" si="49"/>
        <v>1.5</v>
      </c>
      <c r="D289" s="5">
        <f t="shared" si="49"/>
        <v>1.5</v>
      </c>
      <c r="E289" s="5">
        <f t="shared" si="49"/>
        <v>1.5</v>
      </c>
      <c r="F289" s="5">
        <f t="shared" si="49"/>
        <v>1.5</v>
      </c>
      <c r="G289" s="5">
        <f t="shared" si="49"/>
        <v>1.4720157842105</v>
      </c>
      <c r="H289" s="5">
        <f t="shared" si="49"/>
        <v>1.48639063919398</v>
      </c>
      <c r="I289" s="5">
        <f t="shared" si="49"/>
        <v>1.48272688186627</v>
      </c>
      <c r="J289" s="5">
        <f t="shared" si="49"/>
        <v>1.47514194331244</v>
      </c>
      <c r="K289" s="5">
        <f t="shared" si="49"/>
        <v>1.47071577648023</v>
      </c>
      <c r="L289" s="5">
        <f t="shared" si="49"/>
        <v>1.38831752892542</v>
      </c>
      <c r="M289" s="5">
        <f t="shared" si="49"/>
        <v>1.37764327925093</v>
      </c>
      <c r="N289" s="5">
        <f t="shared" si="49"/>
        <v>1.36993784611881</v>
      </c>
      <c r="O289" s="5">
        <f t="shared" si="49"/>
        <v>1.3586405857889</v>
      </c>
      <c r="P289" s="5">
        <f t="shared" si="49"/>
        <v>1.30983704147633</v>
      </c>
      <c r="Q289" s="5">
        <f t="shared" si="49"/>
        <v>1.23477228470556</v>
      </c>
      <c r="R289" s="5">
        <f t="shared" si="49"/>
        <v>1.10165569195236</v>
      </c>
      <c r="S289" s="5">
        <f t="shared" si="48"/>
        <v>1.03946903832683</v>
      </c>
      <c r="T289" s="5">
        <f t="shared" si="48"/>
        <v>0.968757527429586</v>
      </c>
      <c r="U289" s="5">
        <f t="shared" si="48"/>
        <v>0.792461379151251</v>
      </c>
      <c r="V289" s="5">
        <f t="shared" si="48"/>
        <v>0.772944655225526</v>
      </c>
      <c r="W289" s="5">
        <f t="shared" si="48"/>
        <v>0.654477420019219</v>
      </c>
      <c r="X289" s="5">
        <f t="shared" si="48"/>
        <v>0.608195617876694</v>
      </c>
      <c r="Y289" s="5">
        <f t="shared" si="48"/>
        <v>0.556464778922215</v>
      </c>
      <c r="Z289" s="5">
        <f t="shared" si="48"/>
        <v>0.532436077031666</v>
      </c>
      <c r="AA289" s="5">
        <f t="shared" si="48"/>
        <v>0.483529252725942</v>
      </c>
      <c r="AB289" s="5">
        <f t="shared" si="48"/>
        <v>0.405085486637687</v>
      </c>
      <c r="AC289" s="5">
        <f t="shared" si="48"/>
        <v>0.37091606354376</v>
      </c>
      <c r="AD289" s="5">
        <f t="shared" si="48"/>
        <v>0.365405970878957</v>
      </c>
      <c r="AE289" s="5">
        <f t="shared" si="48"/>
        <v>0.325980754560198</v>
      </c>
      <c r="AF289" s="5">
        <f t="shared" si="48"/>
        <v>0.324194022806675</v>
      </c>
      <c r="AG289" s="5">
        <f t="shared" si="48"/>
        <v>0.319373274865248</v>
      </c>
      <c r="AH289" s="5">
        <f t="shared" si="51"/>
        <v>0.288091746413754</v>
      </c>
      <c r="AI289" s="5">
        <f t="shared" si="51"/>
        <v>0.272535977190168</v>
      </c>
      <c r="AJ289" s="5">
        <f t="shared" si="51"/>
        <v>0.267636408002995</v>
      </c>
    </row>
    <row r="290" spans="1:36">
      <c r="A290" t="str">
        <f>"non-electricity_archetype_"&amp;TEXT(ROUND(Table3[[#This Row],[2016]],1),"0.0")</f>
        <v>non-electricity_archetype_1.4</v>
      </c>
      <c r="B290" s="5">
        <f t="shared" si="47"/>
        <v>1.4</v>
      </c>
      <c r="C290" s="5">
        <f t="shared" si="49"/>
        <v>1.4</v>
      </c>
      <c r="D290" s="5">
        <f t="shared" si="49"/>
        <v>1.4</v>
      </c>
      <c r="E290" s="5">
        <f t="shared" si="49"/>
        <v>1.4</v>
      </c>
      <c r="F290" s="5">
        <f t="shared" si="49"/>
        <v>1.4</v>
      </c>
      <c r="G290" s="5">
        <f t="shared" si="49"/>
        <v>1.37428656013826</v>
      </c>
      <c r="H290" s="5">
        <f t="shared" si="49"/>
        <v>1.38749496918996</v>
      </c>
      <c r="I290" s="5">
        <f t="shared" si="49"/>
        <v>1.38412850702348</v>
      </c>
      <c r="J290" s="5">
        <f t="shared" si="49"/>
        <v>1.37715904742433</v>
      </c>
      <c r="K290" s="5">
        <f t="shared" si="49"/>
        <v>1.3730920413837</v>
      </c>
      <c r="L290" s="5">
        <f t="shared" si="49"/>
        <v>1.29737999002049</v>
      </c>
      <c r="M290" s="5">
        <f t="shared" si="49"/>
        <v>1.28757190109141</v>
      </c>
      <c r="N290" s="5">
        <f t="shared" si="49"/>
        <v>1.28049172443246</v>
      </c>
      <c r="O290" s="5">
        <f t="shared" si="49"/>
        <v>1.27011117897496</v>
      </c>
      <c r="P290" s="5">
        <f t="shared" si="49"/>
        <v>1.22526779257597</v>
      </c>
      <c r="Q290" s="5">
        <f t="shared" si="49"/>
        <v>1.1562941567421</v>
      </c>
      <c r="R290" s="5">
        <f t="shared" si="49"/>
        <v>1.03397929438872</v>
      </c>
      <c r="S290" s="5">
        <f t="shared" si="48"/>
        <v>0.976838769521733</v>
      </c>
      <c r="T290" s="5">
        <f t="shared" si="48"/>
        <v>0.911865135932492</v>
      </c>
      <c r="U290" s="5">
        <f t="shared" si="48"/>
        <v>0.749874518053076</v>
      </c>
      <c r="V290" s="5">
        <f t="shared" si="48"/>
        <v>0.731941476414986</v>
      </c>
      <c r="W290" s="5">
        <f t="shared" si="48"/>
        <v>0.623087251198233</v>
      </c>
      <c r="X290" s="5">
        <f t="shared" si="48"/>
        <v>0.580560980494894</v>
      </c>
      <c r="Y290" s="5">
        <f t="shared" si="48"/>
        <v>0.533027834436442</v>
      </c>
      <c r="Z290" s="5">
        <f t="shared" si="48"/>
        <v>0.510948938759464</v>
      </c>
      <c r="AA290" s="5">
        <f t="shared" si="48"/>
        <v>0.466010653010326</v>
      </c>
      <c r="AB290" s="5">
        <f t="shared" si="48"/>
        <v>0.393932197176096</v>
      </c>
      <c r="AC290" s="5">
        <f t="shared" si="48"/>
        <v>0.362535447935553</v>
      </c>
      <c r="AD290" s="5">
        <f t="shared" si="48"/>
        <v>0.357472471097653</v>
      </c>
      <c r="AE290" s="5">
        <f t="shared" si="48"/>
        <v>0.321246409360771</v>
      </c>
      <c r="AF290" s="5">
        <f t="shared" si="48"/>
        <v>0.319604661747084</v>
      </c>
      <c r="AG290" s="5">
        <f t="shared" si="48"/>
        <v>0.315175092835348</v>
      </c>
      <c r="AH290" s="5">
        <f t="shared" si="51"/>
        <v>0.286431900363157</v>
      </c>
      <c r="AI290" s="5">
        <f t="shared" si="51"/>
        <v>0.272138402219681</v>
      </c>
      <c r="AJ290" s="5">
        <f t="shared" si="51"/>
        <v>0.267636408002995</v>
      </c>
    </row>
    <row r="291" spans="1:36">
      <c r="A291" t="str">
        <f>"non-electricity_archetype_"&amp;TEXT(ROUND(Table3[[#This Row],[2016]],1),"0.0")</f>
        <v>non-electricity_archetype_1.3</v>
      </c>
      <c r="B291" s="5">
        <f t="shared" si="47"/>
        <v>1.3</v>
      </c>
      <c r="C291" s="5">
        <f t="shared" si="49"/>
        <v>1.3</v>
      </c>
      <c r="D291" s="5">
        <f t="shared" si="49"/>
        <v>1.3</v>
      </c>
      <c r="E291" s="5">
        <f t="shared" si="49"/>
        <v>1.3</v>
      </c>
      <c r="F291" s="5">
        <f t="shared" si="49"/>
        <v>1.3</v>
      </c>
      <c r="G291" s="5">
        <f t="shared" si="49"/>
        <v>1.27655733606602</v>
      </c>
      <c r="H291" s="5">
        <f t="shared" si="49"/>
        <v>1.28859929918595</v>
      </c>
      <c r="I291" s="5">
        <f t="shared" si="49"/>
        <v>1.28553013218069</v>
      </c>
      <c r="J291" s="5">
        <f t="shared" si="49"/>
        <v>1.27917615153622</v>
      </c>
      <c r="K291" s="5">
        <f t="shared" si="49"/>
        <v>1.27546830628717</v>
      </c>
      <c r="L291" s="5">
        <f t="shared" si="49"/>
        <v>1.20644245111557</v>
      </c>
      <c r="M291" s="5">
        <f t="shared" si="49"/>
        <v>1.19750052293188</v>
      </c>
      <c r="N291" s="5">
        <f t="shared" si="49"/>
        <v>1.19104560274612</v>
      </c>
      <c r="O291" s="5">
        <f t="shared" si="49"/>
        <v>1.18158177216102</v>
      </c>
      <c r="P291" s="5">
        <f t="shared" si="49"/>
        <v>1.14069854367562</v>
      </c>
      <c r="Q291" s="5">
        <f t="shared" si="49"/>
        <v>1.07781602877863</v>
      </c>
      <c r="R291" s="5">
        <f t="shared" ref="R291:AG301" si="52">(($B291-$AJ$3)*((R$3-$AJ$3)/($B$3-$AJ$3)))+$AJ$3</f>
        <v>0.96630289682509</v>
      </c>
      <c r="S291" s="5">
        <f t="shared" si="52"/>
        <v>0.91420850071664</v>
      </c>
      <c r="T291" s="5">
        <f t="shared" si="52"/>
        <v>0.854972744435397</v>
      </c>
      <c r="U291" s="5">
        <f t="shared" si="52"/>
        <v>0.7072876569549</v>
      </c>
      <c r="V291" s="5">
        <f t="shared" si="52"/>
        <v>0.690938297604445</v>
      </c>
      <c r="W291" s="5">
        <f t="shared" si="52"/>
        <v>0.591697082377248</v>
      </c>
      <c r="X291" s="5">
        <f t="shared" si="52"/>
        <v>0.552926343113094</v>
      </c>
      <c r="Y291" s="5">
        <f t="shared" si="52"/>
        <v>0.509590889950669</v>
      </c>
      <c r="Z291" s="5">
        <f t="shared" si="52"/>
        <v>0.489461800487262</v>
      </c>
      <c r="AA291" s="5">
        <f t="shared" si="52"/>
        <v>0.448492053294709</v>
      </c>
      <c r="AB291" s="5">
        <f t="shared" si="52"/>
        <v>0.382778907714504</v>
      </c>
      <c r="AC291" s="5">
        <f t="shared" si="52"/>
        <v>0.354154832327346</v>
      </c>
      <c r="AD291" s="5">
        <f t="shared" si="52"/>
        <v>0.349538971316348</v>
      </c>
      <c r="AE291" s="5">
        <f t="shared" si="52"/>
        <v>0.316512064161343</v>
      </c>
      <c r="AF291" s="5">
        <f t="shared" si="52"/>
        <v>0.315015300687494</v>
      </c>
      <c r="AG291" s="5">
        <f t="shared" si="52"/>
        <v>0.310976910805447</v>
      </c>
      <c r="AH291" s="5">
        <f t="shared" si="51"/>
        <v>0.28477205431256</v>
      </c>
      <c r="AI291" s="5">
        <f t="shared" si="51"/>
        <v>0.271740827249194</v>
      </c>
      <c r="AJ291" s="5">
        <f t="shared" si="51"/>
        <v>0.267636408002995</v>
      </c>
    </row>
    <row r="292" spans="1:36">
      <c r="A292" t="str">
        <f>"non-electricity_archetype_"&amp;TEXT(ROUND(Table3[[#This Row],[2016]],1),"0.0")</f>
        <v>non-electricity_archetype_1.2</v>
      </c>
      <c r="B292" s="5">
        <f t="shared" si="47"/>
        <v>1.2</v>
      </c>
      <c r="C292" s="5">
        <f t="shared" ref="C292:R301" si="53">(($B292-$AJ$3)*((C$3-$AJ$3)/($B$3-$AJ$3)))+$AJ$3</f>
        <v>1.2</v>
      </c>
      <c r="D292" s="5">
        <f t="shared" si="53"/>
        <v>1.2</v>
      </c>
      <c r="E292" s="5">
        <f t="shared" si="53"/>
        <v>1.2</v>
      </c>
      <c r="F292" s="5">
        <f t="shared" si="53"/>
        <v>1.2</v>
      </c>
      <c r="G292" s="5">
        <f t="shared" si="53"/>
        <v>1.17882811199377</v>
      </c>
      <c r="H292" s="5">
        <f t="shared" si="53"/>
        <v>1.18970362918193</v>
      </c>
      <c r="I292" s="5">
        <f t="shared" si="53"/>
        <v>1.1869317573379</v>
      </c>
      <c r="J292" s="5">
        <f t="shared" si="53"/>
        <v>1.1811932556481</v>
      </c>
      <c r="K292" s="5">
        <f t="shared" si="53"/>
        <v>1.17784457119064</v>
      </c>
      <c r="L292" s="5">
        <f t="shared" si="53"/>
        <v>1.11550491221064</v>
      </c>
      <c r="M292" s="5">
        <f t="shared" si="53"/>
        <v>1.10742914477235</v>
      </c>
      <c r="N292" s="5">
        <f t="shared" si="53"/>
        <v>1.10159948105978</v>
      </c>
      <c r="O292" s="5">
        <f t="shared" si="53"/>
        <v>1.09305236534708</v>
      </c>
      <c r="P292" s="5">
        <f t="shared" si="53"/>
        <v>1.05612929477526</v>
      </c>
      <c r="Q292" s="5">
        <f t="shared" si="53"/>
        <v>0.999337900815167</v>
      </c>
      <c r="R292" s="5">
        <f t="shared" si="53"/>
        <v>0.898626499261457</v>
      </c>
      <c r="S292" s="5">
        <f t="shared" si="52"/>
        <v>0.851578231911546</v>
      </c>
      <c r="T292" s="5">
        <f t="shared" si="52"/>
        <v>0.798080352938303</v>
      </c>
      <c r="U292" s="5">
        <f t="shared" si="52"/>
        <v>0.664700795856724</v>
      </c>
      <c r="V292" s="5">
        <f t="shared" si="52"/>
        <v>0.649935118793905</v>
      </c>
      <c r="W292" s="5">
        <f t="shared" si="52"/>
        <v>0.560306913556262</v>
      </c>
      <c r="X292" s="5">
        <f t="shared" si="52"/>
        <v>0.525291705731294</v>
      </c>
      <c r="Y292" s="5">
        <f t="shared" si="52"/>
        <v>0.486153945464895</v>
      </c>
      <c r="Z292" s="5">
        <f t="shared" si="52"/>
        <v>0.46797466221506</v>
      </c>
      <c r="AA292" s="5">
        <f t="shared" si="52"/>
        <v>0.430973453579093</v>
      </c>
      <c r="AB292" s="5">
        <f t="shared" si="52"/>
        <v>0.371625618252913</v>
      </c>
      <c r="AC292" s="5">
        <f t="shared" si="52"/>
        <v>0.345774216719138</v>
      </c>
      <c r="AD292" s="5">
        <f t="shared" si="52"/>
        <v>0.341605471535043</v>
      </c>
      <c r="AE292" s="5">
        <f t="shared" si="52"/>
        <v>0.311777718961916</v>
      </c>
      <c r="AF292" s="5">
        <f t="shared" si="52"/>
        <v>0.310425939627903</v>
      </c>
      <c r="AG292" s="5">
        <f t="shared" si="52"/>
        <v>0.306778728775547</v>
      </c>
      <c r="AH292" s="5">
        <f t="shared" si="51"/>
        <v>0.283112208261963</v>
      </c>
      <c r="AI292" s="5">
        <f t="shared" si="51"/>
        <v>0.271343252278707</v>
      </c>
      <c r="AJ292" s="5">
        <f t="shared" si="51"/>
        <v>0.267636408002995</v>
      </c>
    </row>
    <row r="293" spans="1:36">
      <c r="A293" t="str">
        <f>"non-electricity_archetype_"&amp;TEXT(ROUND(Table3[[#This Row],[2016]],1),"0.0")</f>
        <v>non-electricity_archetype_1.1</v>
      </c>
      <c r="B293" s="5">
        <f t="shared" si="47"/>
        <v>1.1</v>
      </c>
      <c r="C293" s="5">
        <f t="shared" si="53"/>
        <v>1.1</v>
      </c>
      <c r="D293" s="5">
        <f t="shared" si="53"/>
        <v>1.1</v>
      </c>
      <c r="E293" s="5">
        <f t="shared" si="53"/>
        <v>1.1</v>
      </c>
      <c r="F293" s="5">
        <f t="shared" si="53"/>
        <v>1.1</v>
      </c>
      <c r="G293" s="5">
        <f t="shared" si="53"/>
        <v>1.08109888792153</v>
      </c>
      <c r="H293" s="5">
        <f t="shared" si="53"/>
        <v>1.09080795917792</v>
      </c>
      <c r="I293" s="5">
        <f t="shared" si="53"/>
        <v>1.08833338249511</v>
      </c>
      <c r="J293" s="5">
        <f t="shared" si="53"/>
        <v>1.08321035975999</v>
      </c>
      <c r="K293" s="5">
        <f t="shared" si="53"/>
        <v>1.08022083609411</v>
      </c>
      <c r="L293" s="5">
        <f t="shared" si="53"/>
        <v>1.02456737330571</v>
      </c>
      <c r="M293" s="5">
        <f t="shared" si="53"/>
        <v>1.01735776661283</v>
      </c>
      <c r="N293" s="5">
        <f t="shared" si="53"/>
        <v>1.01215335937344</v>
      </c>
      <c r="O293" s="5">
        <f t="shared" si="53"/>
        <v>1.00452295853314</v>
      </c>
      <c r="P293" s="5">
        <f t="shared" si="53"/>
        <v>0.971560045874901</v>
      </c>
      <c r="Q293" s="5">
        <f t="shared" si="53"/>
        <v>0.920859772851701</v>
      </c>
      <c r="R293" s="5">
        <f t="shared" si="53"/>
        <v>0.830950101697824</v>
      </c>
      <c r="S293" s="5">
        <f t="shared" si="52"/>
        <v>0.788947963106452</v>
      </c>
      <c r="T293" s="5">
        <f t="shared" si="52"/>
        <v>0.741187961441208</v>
      </c>
      <c r="U293" s="5">
        <f t="shared" si="52"/>
        <v>0.622113934758548</v>
      </c>
      <c r="V293" s="5">
        <f t="shared" si="52"/>
        <v>0.608931939983364</v>
      </c>
      <c r="W293" s="5">
        <f t="shared" si="52"/>
        <v>0.528916744735276</v>
      </c>
      <c r="X293" s="5">
        <f t="shared" si="52"/>
        <v>0.497657068349493</v>
      </c>
      <c r="Y293" s="5">
        <f t="shared" si="52"/>
        <v>0.462717000979122</v>
      </c>
      <c r="Z293" s="5">
        <f t="shared" si="52"/>
        <v>0.446487523942858</v>
      </c>
      <c r="AA293" s="5">
        <f t="shared" si="52"/>
        <v>0.413454853863476</v>
      </c>
      <c r="AB293" s="5">
        <f t="shared" si="52"/>
        <v>0.360472328791321</v>
      </c>
      <c r="AC293" s="5">
        <f t="shared" si="52"/>
        <v>0.337393601110931</v>
      </c>
      <c r="AD293" s="5">
        <f t="shared" si="52"/>
        <v>0.333671971753738</v>
      </c>
      <c r="AE293" s="5">
        <f t="shared" si="52"/>
        <v>0.307043373762488</v>
      </c>
      <c r="AF293" s="5">
        <f t="shared" si="52"/>
        <v>0.305836578568313</v>
      </c>
      <c r="AG293" s="5">
        <f t="shared" si="52"/>
        <v>0.302580546745647</v>
      </c>
      <c r="AH293" s="5">
        <f t="shared" si="51"/>
        <v>0.281452362211366</v>
      </c>
      <c r="AI293" s="5">
        <f t="shared" si="51"/>
        <v>0.270945677308221</v>
      </c>
      <c r="AJ293" s="5">
        <f t="shared" si="51"/>
        <v>0.267636408002995</v>
      </c>
    </row>
    <row r="294" spans="1:36">
      <c r="A294" t="str">
        <f>"non-electricity_archetype_"&amp;TEXT(ROUND(Table3[[#This Row],[2016]],1),"0.0")</f>
        <v>non-electricity_archetype_1.0</v>
      </c>
      <c r="B294" s="5">
        <f t="shared" si="47"/>
        <v>1</v>
      </c>
      <c r="C294" s="5">
        <f t="shared" si="53"/>
        <v>1</v>
      </c>
      <c r="D294" s="5">
        <f t="shared" si="53"/>
        <v>1</v>
      </c>
      <c r="E294" s="5">
        <f t="shared" si="53"/>
        <v>1</v>
      </c>
      <c r="F294" s="5">
        <f t="shared" si="53"/>
        <v>1</v>
      </c>
      <c r="G294" s="5">
        <f t="shared" si="53"/>
        <v>0.983369663849283</v>
      </c>
      <c r="H294" s="5">
        <f t="shared" si="53"/>
        <v>0.991912289173903</v>
      </c>
      <c r="I294" s="5">
        <f t="shared" si="53"/>
        <v>0.989735007652323</v>
      </c>
      <c r="J294" s="5">
        <f t="shared" si="53"/>
        <v>0.985227463871874</v>
      </c>
      <c r="K294" s="5">
        <f t="shared" si="53"/>
        <v>0.982597100997579</v>
      </c>
      <c r="L294" s="5">
        <f t="shared" si="53"/>
        <v>0.933629834400788</v>
      </c>
      <c r="M294" s="5">
        <f t="shared" si="53"/>
        <v>0.927286388453303</v>
      </c>
      <c r="N294" s="5">
        <f t="shared" si="53"/>
        <v>0.922707237687098</v>
      </c>
      <c r="O294" s="5">
        <f t="shared" si="53"/>
        <v>0.915993551719204</v>
      </c>
      <c r="P294" s="5">
        <f t="shared" si="53"/>
        <v>0.886990796974543</v>
      </c>
      <c r="Q294" s="5">
        <f t="shared" si="53"/>
        <v>0.842381644888236</v>
      </c>
      <c r="R294" s="5">
        <f t="shared" si="53"/>
        <v>0.763273704134191</v>
      </c>
      <c r="S294" s="5">
        <f t="shared" si="52"/>
        <v>0.726317694301359</v>
      </c>
      <c r="T294" s="5">
        <f t="shared" si="52"/>
        <v>0.684295569944114</v>
      </c>
      <c r="U294" s="5">
        <f t="shared" si="52"/>
        <v>0.579527073660372</v>
      </c>
      <c r="V294" s="5">
        <f t="shared" si="52"/>
        <v>0.567928761172824</v>
      </c>
      <c r="W294" s="5">
        <f t="shared" si="52"/>
        <v>0.49752657591429</v>
      </c>
      <c r="X294" s="5">
        <f t="shared" si="52"/>
        <v>0.470022430967693</v>
      </c>
      <c r="Y294" s="5">
        <f t="shared" si="52"/>
        <v>0.439280056493349</v>
      </c>
      <c r="Z294" s="5">
        <f t="shared" si="52"/>
        <v>0.425000385670656</v>
      </c>
      <c r="AA294" s="5">
        <f t="shared" si="52"/>
        <v>0.39593625414786</v>
      </c>
      <c r="AB294" s="5">
        <f t="shared" si="52"/>
        <v>0.34931903932973</v>
      </c>
      <c r="AC294" s="5">
        <f t="shared" si="52"/>
        <v>0.329012985502724</v>
      </c>
      <c r="AD294" s="5">
        <f t="shared" si="52"/>
        <v>0.325738471972433</v>
      </c>
      <c r="AE294" s="5">
        <f t="shared" si="52"/>
        <v>0.302309028563061</v>
      </c>
      <c r="AF294" s="5">
        <f t="shared" si="52"/>
        <v>0.301247217508723</v>
      </c>
      <c r="AG294" s="5">
        <f t="shared" si="52"/>
        <v>0.298382364715746</v>
      </c>
      <c r="AH294" s="5">
        <f t="shared" si="51"/>
        <v>0.279792516160768</v>
      </c>
      <c r="AI294" s="5">
        <f t="shared" si="51"/>
        <v>0.270548102337734</v>
      </c>
      <c r="AJ294" s="5">
        <f t="shared" si="51"/>
        <v>0.267636408002995</v>
      </c>
    </row>
    <row r="295" spans="1:36">
      <c r="A295" t="str">
        <f>"non-electricity_archetype_"&amp;TEXT(ROUND(Table3[[#This Row],[2016]],1),"0.0")</f>
        <v>non-electricity_archetype_0.9</v>
      </c>
      <c r="B295" s="5">
        <f t="shared" si="47"/>
        <v>0.9</v>
      </c>
      <c r="C295" s="5">
        <f t="shared" si="53"/>
        <v>0.9</v>
      </c>
      <c r="D295" s="5">
        <f t="shared" si="53"/>
        <v>0.9</v>
      </c>
      <c r="E295" s="5">
        <f t="shared" si="53"/>
        <v>0.9</v>
      </c>
      <c r="F295" s="5">
        <f t="shared" si="53"/>
        <v>0.9</v>
      </c>
      <c r="G295" s="5">
        <f t="shared" si="53"/>
        <v>0.885640439777039</v>
      </c>
      <c r="H295" s="5">
        <f t="shared" si="53"/>
        <v>0.893016619169888</v>
      </c>
      <c r="I295" s="5">
        <f t="shared" si="53"/>
        <v>0.891136632809533</v>
      </c>
      <c r="J295" s="5">
        <f t="shared" si="53"/>
        <v>0.88724456798376</v>
      </c>
      <c r="K295" s="5">
        <f t="shared" si="53"/>
        <v>0.884973365901049</v>
      </c>
      <c r="L295" s="5">
        <f t="shared" si="53"/>
        <v>0.842692295495862</v>
      </c>
      <c r="M295" s="5">
        <f t="shared" si="53"/>
        <v>0.837215010293777</v>
      </c>
      <c r="N295" s="5">
        <f t="shared" si="53"/>
        <v>0.833261116000757</v>
      </c>
      <c r="O295" s="5">
        <f t="shared" si="53"/>
        <v>0.827464144905264</v>
      </c>
      <c r="P295" s="5">
        <f t="shared" si="53"/>
        <v>0.802421548074185</v>
      </c>
      <c r="Q295" s="5">
        <f t="shared" si="53"/>
        <v>0.763903516924771</v>
      </c>
      <c r="R295" s="5">
        <f t="shared" si="53"/>
        <v>0.695597306570558</v>
      </c>
      <c r="S295" s="5">
        <f t="shared" si="52"/>
        <v>0.663687425496265</v>
      </c>
      <c r="T295" s="5">
        <f t="shared" si="52"/>
        <v>0.62740317844702</v>
      </c>
      <c r="U295" s="5">
        <f t="shared" si="52"/>
        <v>0.536940212562196</v>
      </c>
      <c r="V295" s="5">
        <f t="shared" si="52"/>
        <v>0.526925582362283</v>
      </c>
      <c r="W295" s="5">
        <f t="shared" si="52"/>
        <v>0.466136407093304</v>
      </c>
      <c r="X295" s="5">
        <f t="shared" si="52"/>
        <v>0.442387793585893</v>
      </c>
      <c r="Y295" s="5">
        <f t="shared" si="52"/>
        <v>0.415843112007575</v>
      </c>
      <c r="Z295" s="5">
        <f t="shared" si="52"/>
        <v>0.403513247398454</v>
      </c>
      <c r="AA295" s="5">
        <f t="shared" si="52"/>
        <v>0.378417654432244</v>
      </c>
      <c r="AB295" s="5">
        <f t="shared" si="52"/>
        <v>0.338165749868138</v>
      </c>
      <c r="AC295" s="5">
        <f t="shared" si="52"/>
        <v>0.320632369894516</v>
      </c>
      <c r="AD295" s="5">
        <f t="shared" si="52"/>
        <v>0.317804972191129</v>
      </c>
      <c r="AE295" s="5">
        <f t="shared" si="52"/>
        <v>0.297574683363633</v>
      </c>
      <c r="AF295" s="5">
        <f t="shared" si="52"/>
        <v>0.296657856449132</v>
      </c>
      <c r="AG295" s="5">
        <f t="shared" si="52"/>
        <v>0.294184182685846</v>
      </c>
      <c r="AH295" s="5">
        <f t="shared" si="51"/>
        <v>0.278132670110171</v>
      </c>
      <c r="AI295" s="5">
        <f t="shared" si="51"/>
        <v>0.270150527367247</v>
      </c>
      <c r="AJ295" s="5">
        <f t="shared" si="51"/>
        <v>0.267636408002995</v>
      </c>
    </row>
    <row r="296" spans="1:36">
      <c r="A296" t="str">
        <f>"non-electricity_archetype_"&amp;TEXT(ROUND(Table3[[#This Row],[2016]],1),"0.0")</f>
        <v>non-electricity_archetype_0.8</v>
      </c>
      <c r="B296" s="5">
        <f t="shared" si="47"/>
        <v>0.8</v>
      </c>
      <c r="C296" s="5">
        <f t="shared" si="53"/>
        <v>0.8</v>
      </c>
      <c r="D296" s="5">
        <f t="shared" si="53"/>
        <v>0.8</v>
      </c>
      <c r="E296" s="5">
        <f t="shared" si="53"/>
        <v>0.8</v>
      </c>
      <c r="F296" s="5">
        <f t="shared" si="53"/>
        <v>0.8</v>
      </c>
      <c r="G296" s="5">
        <f t="shared" si="53"/>
        <v>0.787911215704795</v>
      </c>
      <c r="H296" s="5">
        <f t="shared" si="53"/>
        <v>0.794120949165874</v>
      </c>
      <c r="I296" s="5">
        <f t="shared" si="53"/>
        <v>0.792538257966743</v>
      </c>
      <c r="J296" s="5">
        <f t="shared" si="53"/>
        <v>0.789261672095645</v>
      </c>
      <c r="K296" s="5">
        <f t="shared" si="53"/>
        <v>0.78734963080452</v>
      </c>
      <c r="L296" s="5">
        <f t="shared" si="53"/>
        <v>0.751754756590935</v>
      </c>
      <c r="M296" s="5">
        <f t="shared" si="53"/>
        <v>0.747143632134252</v>
      </c>
      <c r="N296" s="5">
        <f t="shared" si="53"/>
        <v>0.743814994314415</v>
      </c>
      <c r="O296" s="5">
        <f t="shared" si="53"/>
        <v>0.738934738091325</v>
      </c>
      <c r="P296" s="5">
        <f t="shared" si="53"/>
        <v>0.717852299173827</v>
      </c>
      <c r="Q296" s="5">
        <f t="shared" si="53"/>
        <v>0.685425388961305</v>
      </c>
      <c r="R296" s="5">
        <f t="shared" si="53"/>
        <v>0.627920909006925</v>
      </c>
      <c r="S296" s="5">
        <f t="shared" si="52"/>
        <v>0.601057156691171</v>
      </c>
      <c r="T296" s="5">
        <f t="shared" si="52"/>
        <v>0.570510786949925</v>
      </c>
      <c r="U296" s="5">
        <f t="shared" si="52"/>
        <v>0.49435335146402</v>
      </c>
      <c r="V296" s="5">
        <f t="shared" si="52"/>
        <v>0.485922403551743</v>
      </c>
      <c r="W296" s="5">
        <f t="shared" si="52"/>
        <v>0.434746238272319</v>
      </c>
      <c r="X296" s="5">
        <f t="shared" si="52"/>
        <v>0.414753156204093</v>
      </c>
      <c r="Y296" s="5">
        <f t="shared" si="52"/>
        <v>0.392406167521802</v>
      </c>
      <c r="Z296" s="5">
        <f t="shared" si="52"/>
        <v>0.382026109126252</v>
      </c>
      <c r="AA296" s="5">
        <f t="shared" si="52"/>
        <v>0.360899054716627</v>
      </c>
      <c r="AB296" s="5">
        <f t="shared" si="52"/>
        <v>0.327012460406547</v>
      </c>
      <c r="AC296" s="5">
        <f t="shared" si="52"/>
        <v>0.312251754286309</v>
      </c>
      <c r="AD296" s="5">
        <f t="shared" si="52"/>
        <v>0.309871472409824</v>
      </c>
      <c r="AE296" s="5">
        <f t="shared" si="52"/>
        <v>0.292840338164205</v>
      </c>
      <c r="AF296" s="5">
        <f t="shared" si="52"/>
        <v>0.292068495389542</v>
      </c>
      <c r="AG296" s="5">
        <f t="shared" si="52"/>
        <v>0.289986000655945</v>
      </c>
      <c r="AH296" s="5">
        <f t="shared" si="51"/>
        <v>0.276472824059574</v>
      </c>
      <c r="AI296" s="5">
        <f t="shared" si="51"/>
        <v>0.26975295239676</v>
      </c>
      <c r="AJ296" s="5">
        <f t="shared" si="51"/>
        <v>0.267636408002995</v>
      </c>
    </row>
    <row r="297" spans="1:36">
      <c r="A297" t="str">
        <f>"non-electricity_archetype_"&amp;TEXT(ROUND(Table3[[#This Row],[2016]],1),"0.0")</f>
        <v>non-electricity_archetype_0.7</v>
      </c>
      <c r="B297" s="5">
        <f t="shared" si="47"/>
        <v>0.7</v>
      </c>
      <c r="C297" s="5">
        <f t="shared" si="53"/>
        <v>0.7</v>
      </c>
      <c r="D297" s="5">
        <f t="shared" si="53"/>
        <v>0.7</v>
      </c>
      <c r="E297" s="5">
        <f t="shared" si="53"/>
        <v>0.7</v>
      </c>
      <c r="F297" s="5">
        <f t="shared" si="53"/>
        <v>0.7</v>
      </c>
      <c r="G297" s="5">
        <f t="shared" si="53"/>
        <v>0.690181991632551</v>
      </c>
      <c r="H297" s="5">
        <f t="shared" si="53"/>
        <v>0.695225279161859</v>
      </c>
      <c r="I297" s="5">
        <f t="shared" si="53"/>
        <v>0.693939883123953</v>
      </c>
      <c r="J297" s="5">
        <f t="shared" si="53"/>
        <v>0.691278776207531</v>
      </c>
      <c r="K297" s="5">
        <f t="shared" si="53"/>
        <v>0.689725895707991</v>
      </c>
      <c r="L297" s="5">
        <f t="shared" si="53"/>
        <v>0.660817217686009</v>
      </c>
      <c r="M297" s="5">
        <f t="shared" si="53"/>
        <v>0.657072253974726</v>
      </c>
      <c r="N297" s="5">
        <f t="shared" si="53"/>
        <v>0.654368872628074</v>
      </c>
      <c r="O297" s="5">
        <f t="shared" si="53"/>
        <v>0.650405331277385</v>
      </c>
      <c r="P297" s="5">
        <f t="shared" si="53"/>
        <v>0.63328305027347</v>
      </c>
      <c r="Q297" s="5">
        <f t="shared" si="53"/>
        <v>0.60694726099784</v>
      </c>
      <c r="R297" s="5">
        <f t="shared" si="53"/>
        <v>0.560244511443292</v>
      </c>
      <c r="S297" s="5">
        <f t="shared" si="52"/>
        <v>0.538426887886078</v>
      </c>
      <c r="T297" s="5">
        <f t="shared" si="52"/>
        <v>0.513618395452831</v>
      </c>
      <c r="U297" s="5">
        <f t="shared" si="52"/>
        <v>0.451766490365844</v>
      </c>
      <c r="V297" s="5">
        <f t="shared" si="52"/>
        <v>0.444919224741202</v>
      </c>
      <c r="W297" s="5">
        <f t="shared" si="52"/>
        <v>0.403356069451333</v>
      </c>
      <c r="X297" s="5">
        <f t="shared" si="52"/>
        <v>0.387118518822293</v>
      </c>
      <c r="Y297" s="5">
        <f t="shared" si="52"/>
        <v>0.368969223036029</v>
      </c>
      <c r="Z297" s="5">
        <f t="shared" si="52"/>
        <v>0.36053897085405</v>
      </c>
      <c r="AA297" s="5">
        <f t="shared" si="52"/>
        <v>0.343380455001011</v>
      </c>
      <c r="AB297" s="5">
        <f t="shared" si="52"/>
        <v>0.315859170944955</v>
      </c>
      <c r="AC297" s="5">
        <f t="shared" si="52"/>
        <v>0.303871138678102</v>
      </c>
      <c r="AD297" s="5">
        <f t="shared" si="52"/>
        <v>0.301937972628519</v>
      </c>
      <c r="AE297" s="5">
        <f t="shared" si="52"/>
        <v>0.288105992964778</v>
      </c>
      <c r="AF297" s="5">
        <f t="shared" si="52"/>
        <v>0.287479134329952</v>
      </c>
      <c r="AG297" s="5">
        <f t="shared" si="52"/>
        <v>0.285787818626045</v>
      </c>
      <c r="AH297" s="5">
        <f t="shared" si="51"/>
        <v>0.274812978008977</v>
      </c>
      <c r="AI297" s="5">
        <f t="shared" si="51"/>
        <v>0.269355377426273</v>
      </c>
      <c r="AJ297" s="5">
        <f t="shared" si="51"/>
        <v>0.267636408002995</v>
      </c>
    </row>
    <row r="298" spans="1:36">
      <c r="A298" t="str">
        <f>"non-electricity_archetype_"&amp;TEXT(ROUND(Table3[[#This Row],[2016]],1),"0.0")</f>
        <v>non-electricity_archetype_0.6</v>
      </c>
      <c r="B298" s="5">
        <f t="shared" si="47"/>
        <v>0.6</v>
      </c>
      <c r="C298" s="5">
        <f t="shared" si="53"/>
        <v>0.6</v>
      </c>
      <c r="D298" s="5">
        <f t="shared" si="53"/>
        <v>0.6</v>
      </c>
      <c r="E298" s="5">
        <f t="shared" si="53"/>
        <v>0.6</v>
      </c>
      <c r="F298" s="5">
        <f t="shared" si="53"/>
        <v>0.6</v>
      </c>
      <c r="G298" s="5">
        <f t="shared" si="53"/>
        <v>0.592452767560307</v>
      </c>
      <c r="H298" s="5">
        <f t="shared" si="53"/>
        <v>0.596329609157844</v>
      </c>
      <c r="I298" s="5">
        <f t="shared" si="53"/>
        <v>0.595341508281163</v>
      </c>
      <c r="J298" s="5">
        <f t="shared" si="53"/>
        <v>0.593295880319417</v>
      </c>
      <c r="K298" s="5">
        <f t="shared" si="53"/>
        <v>0.592102160611461</v>
      </c>
      <c r="L298" s="5">
        <f t="shared" si="53"/>
        <v>0.569879678781082</v>
      </c>
      <c r="M298" s="5">
        <f t="shared" si="53"/>
        <v>0.5670008758152</v>
      </c>
      <c r="N298" s="5">
        <f t="shared" si="53"/>
        <v>0.564922750941732</v>
      </c>
      <c r="O298" s="5">
        <f t="shared" si="53"/>
        <v>0.561875924463446</v>
      </c>
      <c r="P298" s="5">
        <f t="shared" si="53"/>
        <v>0.548713801373112</v>
      </c>
      <c r="Q298" s="5">
        <f t="shared" si="53"/>
        <v>0.528469133034374</v>
      </c>
      <c r="R298" s="5">
        <f t="shared" si="53"/>
        <v>0.492568113879659</v>
      </c>
      <c r="S298" s="5">
        <f t="shared" si="52"/>
        <v>0.475796619080984</v>
      </c>
      <c r="T298" s="5">
        <f t="shared" si="52"/>
        <v>0.456726003955737</v>
      </c>
      <c r="U298" s="5">
        <f t="shared" si="52"/>
        <v>0.409179629267668</v>
      </c>
      <c r="V298" s="5">
        <f t="shared" si="52"/>
        <v>0.403916045930662</v>
      </c>
      <c r="W298" s="5">
        <f t="shared" si="52"/>
        <v>0.371965900630347</v>
      </c>
      <c r="X298" s="5">
        <f t="shared" si="52"/>
        <v>0.359483881440493</v>
      </c>
      <c r="Y298" s="5">
        <f t="shared" si="52"/>
        <v>0.345532278550255</v>
      </c>
      <c r="Z298" s="5">
        <f t="shared" si="52"/>
        <v>0.339051832581848</v>
      </c>
      <c r="AA298" s="5">
        <f t="shared" si="52"/>
        <v>0.325861855285395</v>
      </c>
      <c r="AB298" s="5">
        <f t="shared" si="52"/>
        <v>0.304705881483364</v>
      </c>
      <c r="AC298" s="5">
        <f t="shared" si="52"/>
        <v>0.295490523069894</v>
      </c>
      <c r="AD298" s="5">
        <f t="shared" si="52"/>
        <v>0.294004472847214</v>
      </c>
      <c r="AE298" s="5">
        <f t="shared" si="52"/>
        <v>0.28337164776535</v>
      </c>
      <c r="AF298" s="5">
        <f t="shared" si="52"/>
        <v>0.282889773270361</v>
      </c>
      <c r="AG298" s="5">
        <f t="shared" si="52"/>
        <v>0.281589636596145</v>
      </c>
      <c r="AH298" s="5">
        <f t="shared" si="51"/>
        <v>0.27315313195838</v>
      </c>
      <c r="AI298" s="5">
        <f t="shared" si="51"/>
        <v>0.268957802455786</v>
      </c>
      <c r="AJ298" s="5">
        <f t="shared" si="51"/>
        <v>0.267636408002995</v>
      </c>
    </row>
    <row r="299" spans="1:36">
      <c r="A299" t="str">
        <f>"non-electricity_archetype_"&amp;TEXT(ROUND(Table3[[#This Row],[2016]],1),"0.0")</f>
        <v>non-electricity_archetype_0.5</v>
      </c>
      <c r="B299" s="5">
        <f t="shared" si="47"/>
        <v>0.5</v>
      </c>
      <c r="C299" s="5">
        <f t="shared" si="53"/>
        <v>0.5</v>
      </c>
      <c r="D299" s="5">
        <f t="shared" si="53"/>
        <v>0.5</v>
      </c>
      <c r="E299" s="5">
        <f t="shared" si="53"/>
        <v>0.5</v>
      </c>
      <c r="F299" s="5">
        <f t="shared" si="53"/>
        <v>0.5</v>
      </c>
      <c r="G299" s="5">
        <f t="shared" si="53"/>
        <v>0.494723543488063</v>
      </c>
      <c r="H299" s="5">
        <f t="shared" si="53"/>
        <v>0.497433939153829</v>
      </c>
      <c r="I299" s="5">
        <f t="shared" si="53"/>
        <v>0.496743133438373</v>
      </c>
      <c r="J299" s="5">
        <f t="shared" si="53"/>
        <v>0.495312984431303</v>
      </c>
      <c r="K299" s="5">
        <f t="shared" si="53"/>
        <v>0.494478425514932</v>
      </c>
      <c r="L299" s="5">
        <f t="shared" si="53"/>
        <v>0.478942139876156</v>
      </c>
      <c r="M299" s="5">
        <f t="shared" si="53"/>
        <v>0.476929497655675</v>
      </c>
      <c r="N299" s="5">
        <f t="shared" si="53"/>
        <v>0.47547662925539</v>
      </c>
      <c r="O299" s="5">
        <f t="shared" si="53"/>
        <v>0.473346517649506</v>
      </c>
      <c r="P299" s="5">
        <f t="shared" si="53"/>
        <v>0.464144552472754</v>
      </c>
      <c r="Q299" s="5">
        <f t="shared" si="53"/>
        <v>0.449991005070909</v>
      </c>
      <c r="R299" s="5">
        <f t="shared" si="53"/>
        <v>0.424891716316026</v>
      </c>
      <c r="S299" s="5">
        <f t="shared" si="52"/>
        <v>0.41316635027589</v>
      </c>
      <c r="T299" s="5">
        <f t="shared" si="52"/>
        <v>0.399833612458642</v>
      </c>
      <c r="U299" s="5">
        <f t="shared" si="52"/>
        <v>0.366592768169492</v>
      </c>
      <c r="V299" s="5">
        <f t="shared" si="52"/>
        <v>0.362912867120121</v>
      </c>
      <c r="W299" s="5">
        <f t="shared" si="52"/>
        <v>0.340575731809361</v>
      </c>
      <c r="X299" s="5">
        <f t="shared" si="52"/>
        <v>0.331849244058693</v>
      </c>
      <c r="Y299" s="5">
        <f t="shared" si="52"/>
        <v>0.322095334064482</v>
      </c>
      <c r="Z299" s="5">
        <f t="shared" si="52"/>
        <v>0.317564694309647</v>
      </c>
      <c r="AA299" s="5">
        <f t="shared" si="52"/>
        <v>0.308343255569778</v>
      </c>
      <c r="AB299" s="5">
        <f t="shared" si="52"/>
        <v>0.293552592021772</v>
      </c>
      <c r="AC299" s="5">
        <f t="shared" si="52"/>
        <v>0.287109907461687</v>
      </c>
      <c r="AD299" s="5">
        <f t="shared" si="52"/>
        <v>0.286070973065909</v>
      </c>
      <c r="AE299" s="5">
        <f t="shared" si="52"/>
        <v>0.278637302565923</v>
      </c>
      <c r="AF299" s="5">
        <f t="shared" si="52"/>
        <v>0.278300412210771</v>
      </c>
      <c r="AG299" s="5">
        <f t="shared" si="52"/>
        <v>0.277391454566244</v>
      </c>
      <c r="AH299" s="5">
        <f t="shared" si="51"/>
        <v>0.271493285907783</v>
      </c>
      <c r="AI299" s="5">
        <f t="shared" si="51"/>
        <v>0.268560227485299</v>
      </c>
      <c r="AJ299" s="5">
        <f t="shared" si="51"/>
        <v>0.267636408002995</v>
      </c>
    </row>
    <row r="300" spans="1:36">
      <c r="A300" t="str">
        <f>"non-electricity_archetype_"&amp;TEXT(ROUND(Table3[[#This Row],[2016]],1),"0.0")</f>
        <v>non-electricity_archetype_0.4</v>
      </c>
      <c r="B300" s="5">
        <f t="shared" si="47"/>
        <v>0.4</v>
      </c>
      <c r="C300" s="5">
        <f t="shared" si="53"/>
        <v>0.4</v>
      </c>
      <c r="D300" s="5">
        <f t="shared" si="53"/>
        <v>0.4</v>
      </c>
      <c r="E300" s="5">
        <f t="shared" si="53"/>
        <v>0.4</v>
      </c>
      <c r="F300" s="5">
        <f t="shared" si="53"/>
        <v>0.4</v>
      </c>
      <c r="G300" s="5">
        <f t="shared" si="53"/>
        <v>0.396994319415819</v>
      </c>
      <c r="H300" s="5">
        <f t="shared" si="53"/>
        <v>0.398538269149814</v>
      </c>
      <c r="I300" s="5">
        <f t="shared" si="53"/>
        <v>0.398144758595583</v>
      </c>
      <c r="J300" s="5">
        <f t="shared" si="53"/>
        <v>0.397330088543189</v>
      </c>
      <c r="K300" s="5">
        <f t="shared" si="53"/>
        <v>0.396854690418402</v>
      </c>
      <c r="L300" s="5">
        <f t="shared" si="53"/>
        <v>0.388004600971229</v>
      </c>
      <c r="M300" s="5">
        <f t="shared" si="53"/>
        <v>0.386858119496149</v>
      </c>
      <c r="N300" s="5">
        <f t="shared" si="53"/>
        <v>0.386030507569049</v>
      </c>
      <c r="O300" s="5">
        <f t="shared" si="53"/>
        <v>0.384817110835567</v>
      </c>
      <c r="P300" s="5">
        <f t="shared" si="53"/>
        <v>0.379575303572396</v>
      </c>
      <c r="Q300" s="5">
        <f t="shared" si="53"/>
        <v>0.371512877107444</v>
      </c>
      <c r="R300" s="5">
        <f t="shared" si="53"/>
        <v>0.357215318752393</v>
      </c>
      <c r="S300" s="5">
        <f t="shared" si="52"/>
        <v>0.350536081470797</v>
      </c>
      <c r="T300" s="5">
        <f t="shared" si="52"/>
        <v>0.342941220961548</v>
      </c>
      <c r="U300" s="5">
        <f t="shared" si="52"/>
        <v>0.324005907071316</v>
      </c>
      <c r="V300" s="5">
        <f t="shared" si="52"/>
        <v>0.321909688309581</v>
      </c>
      <c r="W300" s="5">
        <f t="shared" si="52"/>
        <v>0.309185562988376</v>
      </c>
      <c r="X300" s="5">
        <f t="shared" si="52"/>
        <v>0.304214606676893</v>
      </c>
      <c r="Y300" s="5">
        <f t="shared" si="52"/>
        <v>0.298658389578708</v>
      </c>
      <c r="Z300" s="5">
        <f t="shared" si="52"/>
        <v>0.296077556037445</v>
      </c>
      <c r="AA300" s="5">
        <f t="shared" si="52"/>
        <v>0.290824655854162</v>
      </c>
      <c r="AB300" s="5">
        <f t="shared" si="52"/>
        <v>0.282399302560181</v>
      </c>
      <c r="AC300" s="5">
        <f t="shared" si="52"/>
        <v>0.27872929185348</v>
      </c>
      <c r="AD300" s="5">
        <f t="shared" si="52"/>
        <v>0.278137473284604</v>
      </c>
      <c r="AE300" s="5">
        <f t="shared" si="52"/>
        <v>0.273902957366495</v>
      </c>
      <c r="AF300" s="5">
        <f t="shared" si="52"/>
        <v>0.27371105115118</v>
      </c>
      <c r="AG300" s="5">
        <f t="shared" si="52"/>
        <v>0.273193272536344</v>
      </c>
      <c r="AH300" s="5">
        <f t="shared" si="51"/>
        <v>0.269833439857186</v>
      </c>
      <c r="AI300" s="5">
        <f t="shared" si="51"/>
        <v>0.268162652514812</v>
      </c>
      <c r="AJ300" s="5">
        <f t="shared" si="51"/>
        <v>0.267636408002995</v>
      </c>
    </row>
    <row r="301" spans="1:36">
      <c r="A301" t="str">
        <f>"non-electricity_archetype_"&amp;TEXT(ROUND(Table3[[#This Row],[2016]],1),"0.0")</f>
        <v>non-electricity_archetype_0.3</v>
      </c>
      <c r="B301" s="5">
        <f t="shared" si="47"/>
        <v>0.3</v>
      </c>
      <c r="C301" s="5">
        <f t="shared" si="53"/>
        <v>0.3</v>
      </c>
      <c r="D301" s="5">
        <f t="shared" si="53"/>
        <v>0.3</v>
      </c>
      <c r="E301" s="5">
        <f t="shared" si="53"/>
        <v>0.3</v>
      </c>
      <c r="F301" s="5">
        <f t="shared" si="53"/>
        <v>0.3</v>
      </c>
      <c r="G301" s="5">
        <f t="shared" si="53"/>
        <v>0.299265095343575</v>
      </c>
      <c r="H301" s="5">
        <f t="shared" si="53"/>
        <v>0.299642599145799</v>
      </c>
      <c r="I301" s="5">
        <f t="shared" si="53"/>
        <v>0.299546383752793</v>
      </c>
      <c r="J301" s="5">
        <f t="shared" si="53"/>
        <v>0.299347192655074</v>
      </c>
      <c r="K301" s="5">
        <f t="shared" si="53"/>
        <v>0.299230955321873</v>
      </c>
      <c r="L301" s="5">
        <f t="shared" si="53"/>
        <v>0.297067062066303</v>
      </c>
      <c r="M301" s="5">
        <f t="shared" si="53"/>
        <v>0.296786741336623</v>
      </c>
      <c r="N301" s="5">
        <f t="shared" si="53"/>
        <v>0.296584385882707</v>
      </c>
      <c r="O301" s="5">
        <f t="shared" si="53"/>
        <v>0.296287704021627</v>
      </c>
      <c r="P301" s="5">
        <f t="shared" si="53"/>
        <v>0.295006054672038</v>
      </c>
      <c r="Q301" s="5">
        <f t="shared" si="53"/>
        <v>0.293034749143978</v>
      </c>
      <c r="R301" s="5">
        <f t="shared" si="53"/>
        <v>0.28953892118876</v>
      </c>
      <c r="S301" s="5">
        <f t="shared" si="52"/>
        <v>0.287905812665703</v>
      </c>
      <c r="T301" s="5">
        <f t="shared" si="52"/>
        <v>0.286048829464453</v>
      </c>
      <c r="U301" s="5">
        <f t="shared" si="52"/>
        <v>0.28141904597314</v>
      </c>
      <c r="V301" s="5">
        <f t="shared" si="52"/>
        <v>0.280906509499041</v>
      </c>
      <c r="W301" s="5">
        <f t="shared" si="52"/>
        <v>0.27779539416739</v>
      </c>
      <c r="X301" s="5">
        <f t="shared" si="52"/>
        <v>0.276579969295092</v>
      </c>
      <c r="Y301" s="5">
        <f t="shared" si="52"/>
        <v>0.275221445092935</v>
      </c>
      <c r="Z301" s="5">
        <f t="shared" si="52"/>
        <v>0.274590417765243</v>
      </c>
      <c r="AA301" s="5">
        <f t="shared" si="52"/>
        <v>0.273306056138545</v>
      </c>
      <c r="AB301" s="5">
        <f t="shared" si="52"/>
        <v>0.271246013098589</v>
      </c>
      <c r="AC301" s="5">
        <f t="shared" si="52"/>
        <v>0.270348676245272</v>
      </c>
      <c r="AD301" s="5">
        <f t="shared" si="52"/>
        <v>0.2702039735033</v>
      </c>
      <c r="AE301" s="5">
        <f t="shared" si="52"/>
        <v>0.269168612167067</v>
      </c>
      <c r="AF301" s="5">
        <f t="shared" si="52"/>
        <v>0.26912169009159</v>
      </c>
      <c r="AG301" s="5">
        <f t="shared" si="52"/>
        <v>0.268995090506443</v>
      </c>
      <c r="AH301" s="5">
        <f t="shared" si="51"/>
        <v>0.268173593806589</v>
      </c>
      <c r="AI301" s="5">
        <f t="shared" si="51"/>
        <v>0.267765077544325</v>
      </c>
      <c r="AJ301" s="5">
        <f t="shared" si="51"/>
        <v>0.267636408002995</v>
      </c>
    </row>
    <row r="302" spans="1:36">
      <c r="A302" t="s">
        <v>209</v>
      </c>
      <c r="B302" s="5">
        <v>0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</row>
  </sheetData>
  <pageMargins left="0.7" right="0.7" top="0.75" bottom="0.75" header="0.3" footer="0.3"/>
  <pageSetup paperSize="9" orientation="portrait"/>
  <headerFooter/>
  <drawing r:id="rId1"/>
  <tableParts count="3">
    <tablePart r:id="rId2"/>
    <tablePart r:id="rId3"/>
    <tablePart r:id="rId4"/>
  </tablePar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>
    <tabColor theme="9"/>
  </sheetPr>
  <dimension ref="A1:AJ296"/>
  <sheetViews>
    <sheetView workbookViewId="0">
      <selection activeCell="C5" sqref="C5"/>
    </sheetView>
  </sheetViews>
  <sheetFormatPr defaultColWidth="8.83333333333333" defaultRowHeight="13.5"/>
  <cols>
    <col min="1" max="1" width="47.5" customWidth="1"/>
    <col min="2" max="2" width="12" customWidth="1"/>
  </cols>
  <sheetData>
    <row r="1" spans="1:36">
      <c r="A1" t="s">
        <v>106</v>
      </c>
      <c r="B1" t="s">
        <v>171</v>
      </c>
      <c r="C1" t="s">
        <v>172</v>
      </c>
      <c r="D1" t="s">
        <v>173</v>
      </c>
      <c r="E1" t="s">
        <v>174</v>
      </c>
      <c r="F1" t="s">
        <v>175</v>
      </c>
      <c r="G1" t="s">
        <v>176</v>
      </c>
      <c r="H1" t="s">
        <v>177</v>
      </c>
      <c r="I1" t="s">
        <v>54</v>
      </c>
      <c r="J1" t="s">
        <v>178</v>
      </c>
      <c r="K1" t="s">
        <v>179</v>
      </c>
      <c r="L1" t="s">
        <v>180</v>
      </c>
      <c r="M1" t="s">
        <v>181</v>
      </c>
      <c r="N1" t="s">
        <v>182</v>
      </c>
      <c r="O1" t="s">
        <v>183</v>
      </c>
      <c r="P1" t="s">
        <v>184</v>
      </c>
      <c r="Q1" t="s">
        <v>185</v>
      </c>
      <c r="R1" t="s">
        <v>186</v>
      </c>
      <c r="S1" t="s">
        <v>187</v>
      </c>
      <c r="T1" t="s">
        <v>188</v>
      </c>
      <c r="U1" t="s">
        <v>189</v>
      </c>
      <c r="V1" t="s">
        <v>190</v>
      </c>
      <c r="W1" t="s">
        <v>191</v>
      </c>
      <c r="X1" t="s">
        <v>192</v>
      </c>
      <c r="Y1" t="s">
        <v>193</v>
      </c>
      <c r="Z1" t="s">
        <v>194</v>
      </c>
      <c r="AA1" t="s">
        <v>195</v>
      </c>
      <c r="AB1" t="s">
        <v>196</v>
      </c>
      <c r="AC1" t="s">
        <v>197</v>
      </c>
      <c r="AD1" t="s">
        <v>198</v>
      </c>
      <c r="AE1" t="s">
        <v>199</v>
      </c>
      <c r="AF1" t="s">
        <v>200</v>
      </c>
      <c r="AG1" t="s">
        <v>201</v>
      </c>
      <c r="AH1" t="s">
        <v>202</v>
      </c>
      <c r="AI1" t="s">
        <v>203</v>
      </c>
      <c r="AJ1" t="s">
        <v>204</v>
      </c>
    </row>
    <row r="2" spans="1:36">
      <c r="A2" t="s">
        <v>207</v>
      </c>
      <c r="B2" s="3">
        <f>'Sectoral Slopes'!C19</f>
        <v>15.5347124433082</v>
      </c>
      <c r="C2" s="3">
        <f>'Sectoral Slopes'!D19</f>
        <v>15.5347124433082</v>
      </c>
      <c r="D2" s="3">
        <f>'Sectoral Slopes'!E19</f>
        <v>15.5347124433082</v>
      </c>
      <c r="E2" s="3">
        <f>'Sectoral Slopes'!F19</f>
        <v>15.2477896945479</v>
      </c>
      <c r="F2" s="3">
        <f>'Sectoral Slopes'!G19</f>
        <v>14.5541372157281</v>
      </c>
      <c r="G2" s="3">
        <f>'Sectoral Slopes'!H19</f>
        <v>14.6511115277932</v>
      </c>
      <c r="H2" s="3">
        <f>'Sectoral Slopes'!I19</f>
        <v>14.3500246952425</v>
      </c>
      <c r="I2" s="3">
        <f>'Sectoral Slopes'!J19</f>
        <v>13.7675930143964</v>
      </c>
      <c r="J2" s="3">
        <f>'Sectoral Slopes'!K19</f>
        <v>13.440412125029</v>
      </c>
      <c r="K2" s="3">
        <f>'Sectoral Slopes'!L19</f>
        <v>13.1045540251388</v>
      </c>
      <c r="L2" s="3">
        <f>'Sectoral Slopes'!M19</f>
        <v>12.5740268495815</v>
      </c>
      <c r="M2" s="3">
        <f>'Sectoral Slopes'!N19</f>
        <v>12.5096373424865</v>
      </c>
      <c r="N2" s="3">
        <f>'Sectoral Slopes'!O19</f>
        <v>12.0749355761752</v>
      </c>
      <c r="O2" s="3">
        <f>'Sectoral Slopes'!P19</f>
        <v>11.6241859923362</v>
      </c>
      <c r="P2" s="3">
        <f>'Sectoral Slopes'!Q19</f>
        <v>11.0913066941528</v>
      </c>
      <c r="Q2" s="3">
        <f>'Sectoral Slopes'!R19</f>
        <v>9.53003344579838</v>
      </c>
      <c r="R2" s="3">
        <f>'Sectoral Slopes'!S19</f>
        <v>7.42382625970631</v>
      </c>
      <c r="S2" s="3">
        <f>'Sectoral Slopes'!T19</f>
        <v>6.75215263837335</v>
      </c>
      <c r="T2" s="3">
        <f>'Sectoral Slopes'!U19</f>
        <v>5.29212325787286</v>
      </c>
      <c r="U2" s="3">
        <f>'Sectoral Slopes'!V19</f>
        <v>3.82075105098896</v>
      </c>
      <c r="V2" s="3">
        <f>'Sectoral Slopes'!W19</f>
        <v>3.60717592324672</v>
      </c>
      <c r="W2" s="3">
        <f>'Sectoral Slopes'!X19</f>
        <v>2.96274858061379</v>
      </c>
      <c r="X2" s="3">
        <f>'Sectoral Slopes'!Y19</f>
        <v>2.63573810650455</v>
      </c>
      <c r="Y2" s="3">
        <f>'Sectoral Slopes'!Z19</f>
        <v>2.29559237601139</v>
      </c>
      <c r="Z2" s="3">
        <f>'Sectoral Slopes'!AA19</f>
        <v>2.24244092029091</v>
      </c>
      <c r="AA2" s="3">
        <f>'Sectoral Slopes'!AB19</f>
        <v>2.03040666559141</v>
      </c>
      <c r="AB2" s="3">
        <f>'Sectoral Slopes'!AC19</f>
        <v>1.72079161194792</v>
      </c>
      <c r="AC2" s="3">
        <f>'Sectoral Slopes'!AD19</f>
        <v>1.46720732823326</v>
      </c>
      <c r="AD2" s="3">
        <f>'Sectoral Slopes'!AE19</f>
        <v>1.42526653323504</v>
      </c>
      <c r="AE2" s="3">
        <f>'Sectoral Slopes'!AF19</f>
        <v>1.2542270042582</v>
      </c>
      <c r="AF2" s="3">
        <f>'Sectoral Slopes'!AG19</f>
        <v>1.20652388688836</v>
      </c>
      <c r="AG2" s="3">
        <f>'Sectoral Slopes'!AH19</f>
        <v>1.17074996515214</v>
      </c>
      <c r="AH2" s="3">
        <f>'Sectoral Slopes'!AI19</f>
        <v>1.03669675768777</v>
      </c>
      <c r="AI2" s="3">
        <f>'Sectoral Slopes'!AJ19</f>
        <v>0.961051365665839</v>
      </c>
      <c r="AJ2" s="3">
        <f>'Sectoral Slopes'!AK19</f>
        <v>0.924984690964034</v>
      </c>
    </row>
    <row r="4" spans="1:36">
      <c r="A4" t="s">
        <v>208</v>
      </c>
      <c r="B4" t="s">
        <v>171</v>
      </c>
      <c r="C4" t="s">
        <v>172</v>
      </c>
      <c r="D4" t="s">
        <v>173</v>
      </c>
      <c r="E4" t="s">
        <v>174</v>
      </c>
      <c r="F4" t="s">
        <v>175</v>
      </c>
      <c r="G4" t="s">
        <v>176</v>
      </c>
      <c r="H4" t="s">
        <v>177</v>
      </c>
      <c r="I4" t="s">
        <v>54</v>
      </c>
      <c r="J4" t="s">
        <v>178</v>
      </c>
      <c r="K4" t="s">
        <v>179</v>
      </c>
      <c r="L4" t="s">
        <v>180</v>
      </c>
      <c r="M4" t="s">
        <v>181</v>
      </c>
      <c r="N4" t="s">
        <v>182</v>
      </c>
      <c r="O4" t="s">
        <v>183</v>
      </c>
      <c r="P4" t="s">
        <v>184</v>
      </c>
      <c r="Q4" t="s">
        <v>185</v>
      </c>
      <c r="R4" t="s">
        <v>186</v>
      </c>
      <c r="S4" t="s">
        <v>187</v>
      </c>
      <c r="T4" t="s">
        <v>188</v>
      </c>
      <c r="U4" t="s">
        <v>189</v>
      </c>
      <c r="V4" t="s">
        <v>190</v>
      </c>
      <c r="W4" t="s">
        <v>191</v>
      </c>
      <c r="X4" t="s">
        <v>192</v>
      </c>
      <c r="Y4" t="s">
        <v>193</v>
      </c>
      <c r="Z4" t="s">
        <v>194</v>
      </c>
      <c r="AA4" t="s">
        <v>195</v>
      </c>
      <c r="AB4" t="s">
        <v>196</v>
      </c>
      <c r="AC4" t="s">
        <v>197</v>
      </c>
      <c r="AD4" t="s">
        <v>198</v>
      </c>
      <c r="AE4" t="s">
        <v>199</v>
      </c>
      <c r="AF4" t="s">
        <v>200</v>
      </c>
      <c r="AG4" t="s">
        <v>201</v>
      </c>
      <c r="AH4" t="s">
        <v>202</v>
      </c>
      <c r="AI4" t="s">
        <v>203</v>
      </c>
      <c r="AJ4" t="s">
        <v>204</v>
      </c>
    </row>
    <row r="5" spans="1:36">
      <c r="A5" t="str">
        <f>"primary_archetype_"&amp;TEXT(ROUND(Table213[[#This Row],[2016]],1),"0.0")</f>
        <v>primary_archetype_30.0</v>
      </c>
      <c r="B5" s="5">
        <v>30</v>
      </c>
      <c r="C5" s="5">
        <f>MROUND((($B5-$AH$2)*((C$2-$AH$2)/($B$2-$AH$2)))+$AH$2,0.01)</f>
        <v>30</v>
      </c>
      <c r="D5" s="5">
        <f t="shared" ref="D5:AJ12" si="0">MROUND((($B5-$AH$2)*((D$2-$AH$2)/($B$2-$AH$2)))+$AH$2,0.01)</f>
        <v>30</v>
      </c>
      <c r="E5" s="5">
        <f t="shared" si="0"/>
        <v>29.43</v>
      </c>
      <c r="F5" s="5">
        <f t="shared" si="0"/>
        <v>28.04</v>
      </c>
      <c r="G5" s="5">
        <f t="shared" si="0"/>
        <v>28.23</v>
      </c>
      <c r="H5" s="5">
        <f t="shared" si="0"/>
        <v>27.63</v>
      </c>
      <c r="I5" s="5">
        <f t="shared" si="0"/>
        <v>26.47</v>
      </c>
      <c r="J5" s="5">
        <f t="shared" si="0"/>
        <v>25.82</v>
      </c>
      <c r="K5" s="5">
        <f t="shared" si="0"/>
        <v>25.15</v>
      </c>
      <c r="L5" s="5">
        <f t="shared" si="0"/>
        <v>24.09</v>
      </c>
      <c r="M5" s="5">
        <f t="shared" si="0"/>
        <v>23.96</v>
      </c>
      <c r="N5" s="5">
        <f t="shared" si="0"/>
        <v>23.09</v>
      </c>
      <c r="O5" s="5">
        <f t="shared" si="0"/>
        <v>22.19</v>
      </c>
      <c r="P5" s="5">
        <f t="shared" si="0"/>
        <v>21.12</v>
      </c>
      <c r="Q5" s="5">
        <f t="shared" si="0"/>
        <v>18</v>
      </c>
      <c r="R5" s="5">
        <f t="shared" si="0"/>
        <v>13.8</v>
      </c>
      <c r="S5" s="5">
        <f t="shared" si="0"/>
        <v>12.45</v>
      </c>
      <c r="T5" s="5">
        <f t="shared" si="0"/>
        <v>9.54</v>
      </c>
      <c r="U5" s="5">
        <f t="shared" si="0"/>
        <v>6.6</v>
      </c>
      <c r="V5" s="5">
        <f t="shared" si="0"/>
        <v>6.17</v>
      </c>
      <c r="W5" s="5">
        <f t="shared" si="0"/>
        <v>4.88</v>
      </c>
      <c r="X5" s="5">
        <f t="shared" si="0"/>
        <v>4.23</v>
      </c>
      <c r="Y5" s="5">
        <f t="shared" si="0"/>
        <v>3.55</v>
      </c>
      <c r="Z5" s="5">
        <f t="shared" si="0"/>
        <v>3.45</v>
      </c>
      <c r="AA5" s="5">
        <f t="shared" si="0"/>
        <v>3.02</v>
      </c>
      <c r="AB5" s="5">
        <f t="shared" si="0"/>
        <v>2.4</v>
      </c>
      <c r="AC5" s="5">
        <f t="shared" si="0"/>
        <v>1.9</v>
      </c>
      <c r="AD5" s="5">
        <f t="shared" si="0"/>
        <v>1.81</v>
      </c>
      <c r="AE5" s="5">
        <f t="shared" si="0"/>
        <v>1.47</v>
      </c>
      <c r="AF5" s="5">
        <f t="shared" si="0"/>
        <v>1.38</v>
      </c>
      <c r="AG5" s="5">
        <f t="shared" si="0"/>
        <v>1.3</v>
      </c>
      <c r="AH5" s="5">
        <f t="shared" si="0"/>
        <v>1.04</v>
      </c>
      <c r="AI5" s="5">
        <f t="shared" si="0"/>
        <v>0.89</v>
      </c>
      <c r="AJ5" s="5">
        <f t="shared" si="0"/>
        <v>0.81</v>
      </c>
    </row>
    <row r="6" spans="1:36">
      <c r="A6" t="str">
        <f>"primary_archetype_"&amp;TEXT(ROUND(Table213[[#This Row],[2016]],1),"0.0")</f>
        <v>primary_archetype_29.9</v>
      </c>
      <c r="B6" s="5">
        <f>MROUND(B5-0.1,0.1)</f>
        <v>29.9</v>
      </c>
      <c r="C6" s="5">
        <f t="shared" ref="C6:R28" si="1">MROUND((($B6-$AH$2)*((C$2-$AH$2)/($B$2-$AH$2)))+$AH$2,0.01)</f>
        <v>29.9</v>
      </c>
      <c r="D6" s="5">
        <f t="shared" si="0"/>
        <v>29.9</v>
      </c>
      <c r="E6" s="5">
        <f t="shared" si="0"/>
        <v>29.33</v>
      </c>
      <c r="F6" s="5">
        <f t="shared" si="0"/>
        <v>27.95</v>
      </c>
      <c r="G6" s="5">
        <f t="shared" si="0"/>
        <v>28.14</v>
      </c>
      <c r="H6" s="5">
        <f t="shared" si="0"/>
        <v>27.54</v>
      </c>
      <c r="I6" s="5">
        <f t="shared" si="0"/>
        <v>26.38</v>
      </c>
      <c r="J6" s="5">
        <f t="shared" si="0"/>
        <v>25.73</v>
      </c>
      <c r="K6" s="5">
        <f t="shared" si="0"/>
        <v>25.06</v>
      </c>
      <c r="L6" s="5">
        <f t="shared" si="0"/>
        <v>24.01</v>
      </c>
      <c r="M6" s="5">
        <f t="shared" si="0"/>
        <v>23.88</v>
      </c>
      <c r="N6" s="5">
        <f t="shared" si="0"/>
        <v>23.01</v>
      </c>
      <c r="O6" s="5">
        <f t="shared" si="0"/>
        <v>22.11</v>
      </c>
      <c r="P6" s="5">
        <f t="shared" si="0"/>
        <v>21.05</v>
      </c>
      <c r="Q6" s="5">
        <f t="shared" si="0"/>
        <v>17.95</v>
      </c>
      <c r="R6" s="5">
        <f t="shared" si="0"/>
        <v>13.75</v>
      </c>
      <c r="S6" s="5">
        <f t="shared" si="0"/>
        <v>12.42</v>
      </c>
      <c r="T6" s="5">
        <f t="shared" si="0"/>
        <v>9.51</v>
      </c>
      <c r="U6" s="5">
        <f t="shared" si="0"/>
        <v>6.58</v>
      </c>
      <c r="V6" s="5">
        <f t="shared" si="0"/>
        <v>6.15</v>
      </c>
      <c r="W6" s="5">
        <f t="shared" si="0"/>
        <v>4.87</v>
      </c>
      <c r="X6" s="5">
        <f t="shared" si="0"/>
        <v>4.22</v>
      </c>
      <c r="Y6" s="5">
        <f t="shared" si="0"/>
        <v>3.54</v>
      </c>
      <c r="Z6" s="5">
        <f t="shared" si="0"/>
        <v>3.44</v>
      </c>
      <c r="AA6" s="5">
        <f t="shared" si="0"/>
        <v>3.02</v>
      </c>
      <c r="AB6" s="5">
        <f t="shared" si="0"/>
        <v>2.4</v>
      </c>
      <c r="AC6" s="5">
        <f t="shared" si="0"/>
        <v>1.89</v>
      </c>
      <c r="AD6" s="5">
        <f t="shared" si="0"/>
        <v>1.81</v>
      </c>
      <c r="AE6" s="5">
        <f t="shared" si="0"/>
        <v>1.47</v>
      </c>
      <c r="AF6" s="5">
        <f t="shared" si="0"/>
        <v>1.37</v>
      </c>
      <c r="AG6" s="5">
        <f t="shared" si="0"/>
        <v>1.3</v>
      </c>
      <c r="AH6" s="5">
        <f t="shared" si="0"/>
        <v>1.04</v>
      </c>
      <c r="AI6" s="5">
        <f t="shared" si="0"/>
        <v>0.89</v>
      </c>
      <c r="AJ6" s="5">
        <f t="shared" si="0"/>
        <v>0.81</v>
      </c>
    </row>
    <row r="7" spans="1:36">
      <c r="A7" t="str">
        <f>"primary_archetype_"&amp;TEXT(ROUND(Table213[[#This Row],[2016]],1),"0.0")</f>
        <v>primary_archetype_29.8</v>
      </c>
      <c r="B7" s="5">
        <f t="shared" ref="B7:B70" si="2">MROUND(B6-0.1,0.1)</f>
        <v>29.8</v>
      </c>
      <c r="C7" s="5">
        <f t="shared" si="1"/>
        <v>29.8</v>
      </c>
      <c r="D7" s="5">
        <f t="shared" si="0"/>
        <v>29.8</v>
      </c>
      <c r="E7" s="5">
        <f t="shared" si="0"/>
        <v>29.23</v>
      </c>
      <c r="F7" s="5">
        <f t="shared" si="0"/>
        <v>27.85</v>
      </c>
      <c r="G7" s="5">
        <f t="shared" si="0"/>
        <v>28.05</v>
      </c>
      <c r="H7" s="5">
        <f t="shared" si="0"/>
        <v>27.45</v>
      </c>
      <c r="I7" s="5">
        <f t="shared" si="0"/>
        <v>26.29</v>
      </c>
      <c r="J7" s="5">
        <f t="shared" si="0"/>
        <v>25.65</v>
      </c>
      <c r="K7" s="5">
        <f t="shared" si="0"/>
        <v>24.98</v>
      </c>
      <c r="L7" s="5">
        <f t="shared" si="0"/>
        <v>23.93</v>
      </c>
      <c r="M7" s="5">
        <f t="shared" si="0"/>
        <v>23.8</v>
      </c>
      <c r="N7" s="5">
        <f t="shared" si="0"/>
        <v>22.94</v>
      </c>
      <c r="O7" s="5">
        <f t="shared" si="0"/>
        <v>22.04</v>
      </c>
      <c r="P7" s="5">
        <f t="shared" si="0"/>
        <v>20.98</v>
      </c>
      <c r="Q7" s="5">
        <f t="shared" si="0"/>
        <v>17.89</v>
      </c>
      <c r="R7" s="5">
        <f t="shared" si="0"/>
        <v>13.71</v>
      </c>
      <c r="S7" s="5">
        <f t="shared" si="0"/>
        <v>12.38</v>
      </c>
      <c r="T7" s="5">
        <f t="shared" si="0"/>
        <v>9.48</v>
      </c>
      <c r="U7" s="5">
        <f t="shared" si="0"/>
        <v>6.56</v>
      </c>
      <c r="V7" s="5">
        <f t="shared" si="0"/>
        <v>6.14</v>
      </c>
      <c r="W7" s="5">
        <f t="shared" si="0"/>
        <v>4.86</v>
      </c>
      <c r="X7" s="5">
        <f t="shared" si="0"/>
        <v>4.21</v>
      </c>
      <c r="Y7" s="5">
        <f t="shared" si="0"/>
        <v>3.53</v>
      </c>
      <c r="Z7" s="5">
        <f t="shared" si="0"/>
        <v>3.43</v>
      </c>
      <c r="AA7" s="5">
        <f t="shared" si="0"/>
        <v>3.01</v>
      </c>
      <c r="AB7" s="5">
        <f t="shared" si="0"/>
        <v>2.39</v>
      </c>
      <c r="AC7" s="5">
        <f t="shared" si="0"/>
        <v>1.89</v>
      </c>
      <c r="AD7" s="5">
        <f t="shared" si="0"/>
        <v>1.81</v>
      </c>
      <c r="AE7" s="5">
        <f t="shared" si="0"/>
        <v>1.47</v>
      </c>
      <c r="AF7" s="5">
        <f t="shared" si="0"/>
        <v>1.37</v>
      </c>
      <c r="AG7" s="5">
        <f t="shared" si="0"/>
        <v>1.3</v>
      </c>
      <c r="AH7" s="5">
        <f t="shared" si="0"/>
        <v>1.04</v>
      </c>
      <c r="AI7" s="5">
        <f t="shared" si="0"/>
        <v>0.89</v>
      </c>
      <c r="AJ7" s="5">
        <f t="shared" si="0"/>
        <v>0.82</v>
      </c>
    </row>
    <row r="8" spans="1:36">
      <c r="A8" t="str">
        <f>"primary_archetype_"&amp;TEXT(ROUND(Table213[[#This Row],[2016]],1),"0.0")</f>
        <v>primary_archetype_29.7</v>
      </c>
      <c r="B8" s="5">
        <f t="shared" si="2"/>
        <v>29.7</v>
      </c>
      <c r="C8" s="5">
        <f t="shared" si="1"/>
        <v>29.7</v>
      </c>
      <c r="D8" s="5">
        <f t="shared" si="0"/>
        <v>29.7</v>
      </c>
      <c r="E8" s="5">
        <f t="shared" si="0"/>
        <v>29.13</v>
      </c>
      <c r="F8" s="5">
        <f t="shared" si="0"/>
        <v>27.76</v>
      </c>
      <c r="G8" s="5">
        <f t="shared" si="0"/>
        <v>27.95</v>
      </c>
      <c r="H8" s="5">
        <f t="shared" si="0"/>
        <v>27.36</v>
      </c>
      <c r="I8" s="5">
        <f t="shared" si="0"/>
        <v>26.21</v>
      </c>
      <c r="J8" s="5">
        <f t="shared" si="0"/>
        <v>25.56</v>
      </c>
      <c r="K8" s="5">
        <f t="shared" si="0"/>
        <v>24.9</v>
      </c>
      <c r="L8" s="5">
        <f t="shared" si="0"/>
        <v>23.85</v>
      </c>
      <c r="M8" s="5">
        <f t="shared" si="0"/>
        <v>23.72</v>
      </c>
      <c r="N8" s="5">
        <f t="shared" si="0"/>
        <v>22.86</v>
      </c>
      <c r="O8" s="5">
        <f t="shared" si="0"/>
        <v>21.97</v>
      </c>
      <c r="P8" s="5">
        <f t="shared" si="0"/>
        <v>20.92</v>
      </c>
      <c r="Q8" s="5">
        <f t="shared" si="0"/>
        <v>17.83</v>
      </c>
      <c r="R8" s="5">
        <f t="shared" si="0"/>
        <v>13.66</v>
      </c>
      <c r="S8" s="5">
        <f t="shared" si="0"/>
        <v>12.34</v>
      </c>
      <c r="T8" s="5">
        <f t="shared" si="0"/>
        <v>9.45</v>
      </c>
      <c r="U8" s="5">
        <f t="shared" si="0"/>
        <v>6.54</v>
      </c>
      <c r="V8" s="5">
        <f t="shared" si="0"/>
        <v>6.12</v>
      </c>
      <c r="W8" s="5">
        <f t="shared" si="0"/>
        <v>4.84</v>
      </c>
      <c r="X8" s="5">
        <f t="shared" si="0"/>
        <v>4.2</v>
      </c>
      <c r="Y8" s="5">
        <f t="shared" si="0"/>
        <v>3.53</v>
      </c>
      <c r="Z8" s="5">
        <f t="shared" si="0"/>
        <v>3.42</v>
      </c>
      <c r="AA8" s="5">
        <f t="shared" si="0"/>
        <v>3</v>
      </c>
      <c r="AB8" s="5">
        <f t="shared" si="0"/>
        <v>2.39</v>
      </c>
      <c r="AC8" s="5">
        <f t="shared" si="0"/>
        <v>1.89</v>
      </c>
      <c r="AD8" s="5">
        <f t="shared" si="0"/>
        <v>1.8</v>
      </c>
      <c r="AE8" s="5">
        <f t="shared" si="0"/>
        <v>1.47</v>
      </c>
      <c r="AF8" s="5">
        <f t="shared" si="0"/>
        <v>1.37</v>
      </c>
      <c r="AG8" s="5">
        <f t="shared" si="0"/>
        <v>1.3</v>
      </c>
      <c r="AH8" s="5">
        <f t="shared" si="0"/>
        <v>1.04</v>
      </c>
      <c r="AI8" s="5">
        <f t="shared" si="0"/>
        <v>0.89</v>
      </c>
      <c r="AJ8" s="5">
        <f t="shared" si="0"/>
        <v>0.82</v>
      </c>
    </row>
    <row r="9" spans="1:36">
      <c r="A9" t="str">
        <f>"primary_archetype_"&amp;TEXT(ROUND(Table213[[#This Row],[2016]],1),"0.0")</f>
        <v>primary_archetype_29.6</v>
      </c>
      <c r="B9" s="5">
        <f t="shared" si="2"/>
        <v>29.6</v>
      </c>
      <c r="C9" s="5">
        <f t="shared" si="1"/>
        <v>29.6</v>
      </c>
      <c r="D9" s="5">
        <f t="shared" si="0"/>
        <v>29.6</v>
      </c>
      <c r="E9" s="5">
        <f t="shared" si="0"/>
        <v>29.03</v>
      </c>
      <c r="F9" s="5">
        <f t="shared" si="0"/>
        <v>27.67</v>
      </c>
      <c r="G9" s="5">
        <f t="shared" si="0"/>
        <v>27.86</v>
      </c>
      <c r="H9" s="5">
        <f t="shared" si="0"/>
        <v>27.27</v>
      </c>
      <c r="I9" s="5">
        <f t="shared" si="0"/>
        <v>26.12</v>
      </c>
      <c r="J9" s="5">
        <f t="shared" si="0"/>
        <v>25.47</v>
      </c>
      <c r="K9" s="5">
        <f t="shared" si="0"/>
        <v>24.81</v>
      </c>
      <c r="L9" s="5">
        <f t="shared" si="0"/>
        <v>23.77</v>
      </c>
      <c r="M9" s="5">
        <f t="shared" si="0"/>
        <v>23.64</v>
      </c>
      <c r="N9" s="5">
        <f t="shared" si="0"/>
        <v>22.78</v>
      </c>
      <c r="O9" s="5">
        <f t="shared" si="0"/>
        <v>21.9</v>
      </c>
      <c r="P9" s="5">
        <f t="shared" si="0"/>
        <v>20.85</v>
      </c>
      <c r="Q9" s="5">
        <f t="shared" si="0"/>
        <v>17.77</v>
      </c>
      <c r="R9" s="5">
        <f t="shared" si="0"/>
        <v>13.62</v>
      </c>
      <c r="S9" s="5">
        <f t="shared" si="0"/>
        <v>12.3</v>
      </c>
      <c r="T9" s="5">
        <f t="shared" si="0"/>
        <v>9.42</v>
      </c>
      <c r="U9" s="5">
        <f t="shared" si="0"/>
        <v>6.52</v>
      </c>
      <c r="V9" s="5">
        <f t="shared" si="0"/>
        <v>6.1</v>
      </c>
      <c r="W9" s="5">
        <f t="shared" si="0"/>
        <v>4.83</v>
      </c>
      <c r="X9" s="5">
        <f t="shared" si="0"/>
        <v>4.19</v>
      </c>
      <c r="Y9" s="5">
        <f t="shared" si="0"/>
        <v>3.52</v>
      </c>
      <c r="Z9" s="5">
        <f t="shared" si="0"/>
        <v>3.41</v>
      </c>
      <c r="AA9" s="5">
        <f t="shared" si="0"/>
        <v>2.99</v>
      </c>
      <c r="AB9" s="5">
        <f t="shared" si="0"/>
        <v>2.38</v>
      </c>
      <c r="AC9" s="5">
        <f t="shared" si="0"/>
        <v>1.88</v>
      </c>
      <c r="AD9" s="5">
        <f t="shared" si="0"/>
        <v>1.8</v>
      </c>
      <c r="AE9" s="5">
        <f t="shared" si="0"/>
        <v>1.47</v>
      </c>
      <c r="AF9" s="5">
        <f t="shared" si="0"/>
        <v>1.37</v>
      </c>
      <c r="AG9" s="5">
        <f t="shared" si="0"/>
        <v>1.3</v>
      </c>
      <c r="AH9" s="5">
        <f t="shared" si="0"/>
        <v>1.04</v>
      </c>
      <c r="AI9" s="5">
        <f t="shared" si="0"/>
        <v>0.89</v>
      </c>
      <c r="AJ9" s="5">
        <f t="shared" si="0"/>
        <v>0.82</v>
      </c>
    </row>
    <row r="10" spans="1:36">
      <c r="A10" t="str">
        <f>"primary_archetype_"&amp;TEXT(ROUND(Table213[[#This Row],[2016]],1),"0.0")</f>
        <v>primary_archetype_29.5</v>
      </c>
      <c r="B10" s="5">
        <f t="shared" si="2"/>
        <v>29.5</v>
      </c>
      <c r="C10" s="5">
        <f t="shared" si="1"/>
        <v>29.5</v>
      </c>
      <c r="D10" s="5">
        <f t="shared" si="0"/>
        <v>29.5</v>
      </c>
      <c r="E10" s="5">
        <f t="shared" si="0"/>
        <v>28.94</v>
      </c>
      <c r="F10" s="5">
        <f t="shared" si="0"/>
        <v>27.57</v>
      </c>
      <c r="G10" s="5">
        <f t="shared" si="0"/>
        <v>27.77</v>
      </c>
      <c r="H10" s="5">
        <f t="shared" si="0"/>
        <v>27.17</v>
      </c>
      <c r="I10" s="5">
        <f t="shared" si="0"/>
        <v>26.03</v>
      </c>
      <c r="J10" s="5">
        <f t="shared" si="0"/>
        <v>25.39</v>
      </c>
      <c r="K10" s="5">
        <f t="shared" si="0"/>
        <v>24.73</v>
      </c>
      <c r="L10" s="5">
        <f t="shared" si="0"/>
        <v>23.69</v>
      </c>
      <c r="M10" s="5">
        <f t="shared" si="0"/>
        <v>23.56</v>
      </c>
      <c r="N10" s="5">
        <f t="shared" si="0"/>
        <v>22.71</v>
      </c>
      <c r="O10" s="5">
        <f t="shared" si="0"/>
        <v>21.82</v>
      </c>
      <c r="P10" s="5">
        <f t="shared" si="0"/>
        <v>20.78</v>
      </c>
      <c r="Q10" s="5">
        <f t="shared" si="0"/>
        <v>17.71</v>
      </c>
      <c r="R10" s="5">
        <f t="shared" si="0"/>
        <v>13.58</v>
      </c>
      <c r="S10" s="5">
        <f t="shared" si="0"/>
        <v>12.26</v>
      </c>
      <c r="T10" s="5">
        <f t="shared" si="0"/>
        <v>9.39</v>
      </c>
      <c r="U10" s="5">
        <f t="shared" si="0"/>
        <v>6.5</v>
      </c>
      <c r="V10" s="5">
        <f t="shared" si="0"/>
        <v>6.08</v>
      </c>
      <c r="W10" s="5">
        <f t="shared" si="0"/>
        <v>4.82</v>
      </c>
      <c r="X10" s="5">
        <f t="shared" si="0"/>
        <v>4.18</v>
      </c>
      <c r="Y10" s="5">
        <f t="shared" si="0"/>
        <v>3.51</v>
      </c>
      <c r="Z10" s="5">
        <f t="shared" si="0"/>
        <v>3.4</v>
      </c>
      <c r="AA10" s="5">
        <f t="shared" si="0"/>
        <v>2.99</v>
      </c>
      <c r="AB10" s="5">
        <f t="shared" si="0"/>
        <v>2.38</v>
      </c>
      <c r="AC10" s="5">
        <f t="shared" si="0"/>
        <v>1.88</v>
      </c>
      <c r="AD10" s="5">
        <f t="shared" si="0"/>
        <v>1.8</v>
      </c>
      <c r="AE10" s="5">
        <f t="shared" si="0"/>
        <v>1.46</v>
      </c>
      <c r="AF10" s="5">
        <f t="shared" si="0"/>
        <v>1.37</v>
      </c>
      <c r="AG10" s="5">
        <f t="shared" si="0"/>
        <v>1.3</v>
      </c>
      <c r="AH10" s="5">
        <f t="shared" si="0"/>
        <v>1.04</v>
      </c>
      <c r="AI10" s="5">
        <f t="shared" si="0"/>
        <v>0.89</v>
      </c>
      <c r="AJ10" s="5">
        <f t="shared" si="0"/>
        <v>0.82</v>
      </c>
    </row>
    <row r="11" spans="1:36">
      <c r="A11" t="str">
        <f>"primary_archetype_"&amp;TEXT(ROUND(Table213[[#This Row],[2016]],1),"0.0")</f>
        <v>primary_archetype_29.4</v>
      </c>
      <c r="B11" s="5">
        <f t="shared" si="2"/>
        <v>29.4</v>
      </c>
      <c r="C11" s="5">
        <f t="shared" si="1"/>
        <v>29.4</v>
      </c>
      <c r="D11" s="5">
        <f t="shared" si="0"/>
        <v>29.4</v>
      </c>
      <c r="E11" s="5">
        <f t="shared" si="0"/>
        <v>28.84</v>
      </c>
      <c r="F11" s="5">
        <f t="shared" si="0"/>
        <v>27.48</v>
      </c>
      <c r="G11" s="5">
        <f t="shared" si="0"/>
        <v>27.67</v>
      </c>
      <c r="H11" s="5">
        <f t="shared" si="0"/>
        <v>27.08</v>
      </c>
      <c r="I11" s="5">
        <f t="shared" si="0"/>
        <v>25.94</v>
      </c>
      <c r="J11" s="5">
        <f t="shared" si="0"/>
        <v>25.3</v>
      </c>
      <c r="K11" s="5">
        <f t="shared" si="0"/>
        <v>24.65</v>
      </c>
      <c r="L11" s="5">
        <f t="shared" si="0"/>
        <v>23.61</v>
      </c>
      <c r="M11" s="5">
        <f t="shared" si="0"/>
        <v>23.48</v>
      </c>
      <c r="N11" s="5">
        <f t="shared" si="0"/>
        <v>22.63</v>
      </c>
      <c r="O11" s="5">
        <f t="shared" si="0"/>
        <v>21.75</v>
      </c>
      <c r="P11" s="5">
        <f t="shared" si="0"/>
        <v>20.71</v>
      </c>
      <c r="Q11" s="5">
        <f t="shared" si="0"/>
        <v>17.65</v>
      </c>
      <c r="R11" s="5">
        <f t="shared" si="0"/>
        <v>13.53</v>
      </c>
      <c r="S11" s="5">
        <f t="shared" si="0"/>
        <v>12.22</v>
      </c>
      <c r="T11" s="5">
        <f t="shared" si="0"/>
        <v>9.36</v>
      </c>
      <c r="U11" s="5">
        <f t="shared" si="0"/>
        <v>6.48</v>
      </c>
      <c r="V11" s="5">
        <f t="shared" si="0"/>
        <v>6.07</v>
      </c>
      <c r="W11" s="5">
        <f t="shared" si="0"/>
        <v>4.8</v>
      </c>
      <c r="X11" s="5">
        <f t="shared" si="0"/>
        <v>4.16</v>
      </c>
      <c r="Y11" s="5">
        <f t="shared" si="0"/>
        <v>3.5</v>
      </c>
      <c r="Z11" s="5">
        <f t="shared" si="0"/>
        <v>3.4</v>
      </c>
      <c r="AA11" s="5">
        <f t="shared" si="0"/>
        <v>2.98</v>
      </c>
      <c r="AB11" s="5">
        <f t="shared" si="0"/>
        <v>2.38</v>
      </c>
      <c r="AC11" s="5">
        <f t="shared" si="0"/>
        <v>1.88</v>
      </c>
      <c r="AD11" s="5">
        <f t="shared" si="0"/>
        <v>1.8</v>
      </c>
      <c r="AE11" s="5">
        <f t="shared" si="0"/>
        <v>1.46</v>
      </c>
      <c r="AF11" s="5">
        <f t="shared" si="0"/>
        <v>1.37</v>
      </c>
      <c r="AG11" s="5">
        <f t="shared" si="0"/>
        <v>1.3</v>
      </c>
      <c r="AH11" s="5">
        <f t="shared" si="0"/>
        <v>1.04</v>
      </c>
      <c r="AI11" s="5">
        <f t="shared" si="0"/>
        <v>0.89</v>
      </c>
      <c r="AJ11" s="5">
        <f t="shared" si="0"/>
        <v>0.82</v>
      </c>
    </row>
    <row r="12" spans="1:36">
      <c r="A12" t="str">
        <f>"primary_archetype_"&amp;TEXT(ROUND(Table213[[#This Row],[2016]],1),"0.0")</f>
        <v>primary_archetype_29.3</v>
      </c>
      <c r="B12" s="5">
        <f t="shared" si="2"/>
        <v>29.3</v>
      </c>
      <c r="C12" s="5">
        <f t="shared" si="1"/>
        <v>29.3</v>
      </c>
      <c r="D12" s="5">
        <f t="shared" si="0"/>
        <v>29.3</v>
      </c>
      <c r="E12" s="5">
        <f t="shared" si="0"/>
        <v>28.74</v>
      </c>
      <c r="F12" s="5">
        <f t="shared" si="0"/>
        <v>27.39</v>
      </c>
      <c r="G12" s="5">
        <f t="shared" si="0"/>
        <v>27.58</v>
      </c>
      <c r="H12" s="5">
        <f t="shared" si="0"/>
        <v>26.99</v>
      </c>
      <c r="I12" s="5">
        <f t="shared" si="0"/>
        <v>25.86</v>
      </c>
      <c r="J12" s="5">
        <f t="shared" si="0"/>
        <v>25.22</v>
      </c>
      <c r="K12" s="5">
        <f t="shared" si="0"/>
        <v>24.56</v>
      </c>
      <c r="L12" s="5">
        <f t="shared" si="0"/>
        <v>23.53</v>
      </c>
      <c r="M12" s="5">
        <f t="shared" si="0"/>
        <v>23.4</v>
      </c>
      <c r="N12" s="5">
        <f t="shared" si="0"/>
        <v>22.56</v>
      </c>
      <c r="O12" s="5">
        <f t="shared" si="0"/>
        <v>21.68</v>
      </c>
      <c r="P12" s="5">
        <f t="shared" si="0"/>
        <v>20.64</v>
      </c>
      <c r="Q12" s="5">
        <f t="shared" si="0"/>
        <v>17.59</v>
      </c>
      <c r="R12" s="5">
        <f t="shared" si="0"/>
        <v>13.49</v>
      </c>
      <c r="S12" s="5">
        <f t="shared" si="0"/>
        <v>12.18</v>
      </c>
      <c r="T12" s="5">
        <f t="shared" si="0"/>
        <v>9.33</v>
      </c>
      <c r="U12" s="5">
        <f t="shared" si="0"/>
        <v>6.46</v>
      </c>
      <c r="V12" s="5">
        <f t="shared" si="0"/>
        <v>6.05</v>
      </c>
      <c r="W12" s="5">
        <f t="shared" si="0"/>
        <v>4.79</v>
      </c>
      <c r="X12" s="5">
        <f t="shared" si="0"/>
        <v>4.15</v>
      </c>
      <c r="Y12" s="5">
        <f t="shared" si="0"/>
        <v>3.49</v>
      </c>
      <c r="Z12" s="5">
        <f t="shared" si="0"/>
        <v>3.39</v>
      </c>
      <c r="AA12" s="5">
        <f t="shared" si="0"/>
        <v>2.97</v>
      </c>
      <c r="AB12" s="5">
        <f t="shared" ref="AB12:AJ28" si="3">MROUND((($B12-$AH$2)*((AB$2-$AH$2)/($B$2-$AH$2)))+$AH$2,0.01)</f>
        <v>2.37</v>
      </c>
      <c r="AC12" s="5">
        <f t="shared" si="3"/>
        <v>1.88</v>
      </c>
      <c r="AD12" s="5">
        <f t="shared" si="3"/>
        <v>1.79</v>
      </c>
      <c r="AE12" s="5">
        <f t="shared" si="3"/>
        <v>1.46</v>
      </c>
      <c r="AF12" s="5">
        <f t="shared" si="3"/>
        <v>1.37</v>
      </c>
      <c r="AG12" s="5">
        <f t="shared" si="3"/>
        <v>1.3</v>
      </c>
      <c r="AH12" s="5">
        <f t="shared" si="3"/>
        <v>1.04</v>
      </c>
      <c r="AI12" s="5">
        <f t="shared" si="3"/>
        <v>0.89</v>
      </c>
      <c r="AJ12" s="5">
        <f t="shared" si="3"/>
        <v>0.82</v>
      </c>
    </row>
    <row r="13" spans="1:36">
      <c r="A13" t="str">
        <f>"primary_archetype_"&amp;TEXT(ROUND(Table213[[#This Row],[2016]],1),"0.0")</f>
        <v>primary_archetype_29.2</v>
      </c>
      <c r="B13" s="5">
        <f t="shared" si="2"/>
        <v>29.2</v>
      </c>
      <c r="C13" s="5">
        <f t="shared" si="1"/>
        <v>29.2</v>
      </c>
      <c r="D13" s="5">
        <f t="shared" si="1"/>
        <v>29.2</v>
      </c>
      <c r="E13" s="5">
        <f t="shared" si="1"/>
        <v>28.64</v>
      </c>
      <c r="F13" s="5">
        <f t="shared" si="1"/>
        <v>27.3</v>
      </c>
      <c r="G13" s="5">
        <f t="shared" si="1"/>
        <v>27.48</v>
      </c>
      <c r="H13" s="5">
        <f t="shared" si="1"/>
        <v>26.9</v>
      </c>
      <c r="I13" s="5">
        <f t="shared" si="1"/>
        <v>25.77</v>
      </c>
      <c r="J13" s="5">
        <f t="shared" si="1"/>
        <v>25.13</v>
      </c>
      <c r="K13" s="5">
        <f t="shared" si="1"/>
        <v>24.48</v>
      </c>
      <c r="L13" s="5">
        <f t="shared" si="1"/>
        <v>23.45</v>
      </c>
      <c r="M13" s="5">
        <f t="shared" si="1"/>
        <v>23.32</v>
      </c>
      <c r="N13" s="5">
        <f t="shared" si="1"/>
        <v>22.48</v>
      </c>
      <c r="O13" s="5">
        <f t="shared" si="1"/>
        <v>21.6</v>
      </c>
      <c r="P13" s="5">
        <f t="shared" si="1"/>
        <v>20.57</v>
      </c>
      <c r="Q13" s="5">
        <f t="shared" si="1"/>
        <v>17.54</v>
      </c>
      <c r="R13" s="5">
        <f t="shared" si="1"/>
        <v>13.44</v>
      </c>
      <c r="S13" s="5">
        <f t="shared" ref="S13:AH29" si="4">MROUND((($B13-$AH$2)*((S$2-$AH$2)/($B$2-$AH$2)))+$AH$2,0.01)</f>
        <v>12.14</v>
      </c>
      <c r="T13" s="5">
        <f t="shared" si="4"/>
        <v>9.3</v>
      </c>
      <c r="U13" s="5">
        <f t="shared" si="4"/>
        <v>6.44</v>
      </c>
      <c r="V13" s="5">
        <f t="shared" si="4"/>
        <v>6.03</v>
      </c>
      <c r="W13" s="5">
        <f t="shared" si="4"/>
        <v>4.78</v>
      </c>
      <c r="X13" s="5">
        <f t="shared" si="4"/>
        <v>4.14</v>
      </c>
      <c r="Y13" s="5">
        <f t="shared" si="4"/>
        <v>3.48</v>
      </c>
      <c r="Z13" s="5">
        <f t="shared" si="4"/>
        <v>3.38</v>
      </c>
      <c r="AA13" s="5">
        <f t="shared" si="4"/>
        <v>2.97</v>
      </c>
      <c r="AB13" s="5">
        <f t="shared" si="4"/>
        <v>2.37</v>
      </c>
      <c r="AC13" s="5">
        <f t="shared" si="4"/>
        <v>1.87</v>
      </c>
      <c r="AD13" s="5">
        <f t="shared" si="4"/>
        <v>1.79</v>
      </c>
      <c r="AE13" s="5">
        <f t="shared" si="4"/>
        <v>1.46</v>
      </c>
      <c r="AF13" s="5">
        <f t="shared" si="4"/>
        <v>1.37</v>
      </c>
      <c r="AG13" s="5">
        <f t="shared" si="4"/>
        <v>1.3</v>
      </c>
      <c r="AH13" s="5">
        <f t="shared" si="4"/>
        <v>1.04</v>
      </c>
      <c r="AI13" s="5">
        <f t="shared" si="3"/>
        <v>0.89</v>
      </c>
      <c r="AJ13" s="5">
        <f t="shared" si="3"/>
        <v>0.82</v>
      </c>
    </row>
    <row r="14" spans="1:36">
      <c r="A14" t="str">
        <f>"primary_archetype_"&amp;TEXT(ROUND(Table213[[#This Row],[2016]],1),"0.0")</f>
        <v>primary_archetype_29.1</v>
      </c>
      <c r="B14" s="5">
        <f t="shared" si="2"/>
        <v>29.1</v>
      </c>
      <c r="C14" s="5">
        <f t="shared" si="1"/>
        <v>29.1</v>
      </c>
      <c r="D14" s="5">
        <f t="shared" si="1"/>
        <v>29.1</v>
      </c>
      <c r="E14" s="5">
        <f t="shared" si="1"/>
        <v>28.54</v>
      </c>
      <c r="F14" s="5">
        <f t="shared" si="1"/>
        <v>27.2</v>
      </c>
      <c r="G14" s="5">
        <f t="shared" si="1"/>
        <v>27.39</v>
      </c>
      <c r="H14" s="5">
        <f t="shared" si="1"/>
        <v>26.81</v>
      </c>
      <c r="I14" s="5">
        <f t="shared" si="1"/>
        <v>25.68</v>
      </c>
      <c r="J14" s="5">
        <f t="shared" si="1"/>
        <v>25.05</v>
      </c>
      <c r="K14" s="5">
        <f t="shared" si="1"/>
        <v>24.4</v>
      </c>
      <c r="L14" s="5">
        <f t="shared" si="1"/>
        <v>23.37</v>
      </c>
      <c r="M14" s="5">
        <f t="shared" si="1"/>
        <v>23.24</v>
      </c>
      <c r="N14" s="5">
        <f t="shared" si="1"/>
        <v>22.4</v>
      </c>
      <c r="O14" s="5">
        <f t="shared" si="1"/>
        <v>21.53</v>
      </c>
      <c r="P14" s="5">
        <f t="shared" si="1"/>
        <v>20.5</v>
      </c>
      <c r="Q14" s="5">
        <f t="shared" si="1"/>
        <v>17.48</v>
      </c>
      <c r="R14" s="5">
        <f t="shared" si="1"/>
        <v>13.4</v>
      </c>
      <c r="S14" s="5">
        <f t="shared" si="4"/>
        <v>12.1</v>
      </c>
      <c r="T14" s="5">
        <f t="shared" si="4"/>
        <v>9.27</v>
      </c>
      <c r="U14" s="5">
        <f t="shared" si="4"/>
        <v>6.43</v>
      </c>
      <c r="V14" s="5">
        <f t="shared" si="4"/>
        <v>6.01</v>
      </c>
      <c r="W14" s="5">
        <f t="shared" si="4"/>
        <v>4.76</v>
      </c>
      <c r="X14" s="5">
        <f t="shared" si="4"/>
        <v>4.13</v>
      </c>
      <c r="Y14" s="5">
        <f t="shared" si="4"/>
        <v>3.47</v>
      </c>
      <c r="Z14" s="5">
        <f t="shared" si="4"/>
        <v>3.37</v>
      </c>
      <c r="AA14" s="5">
        <f t="shared" si="4"/>
        <v>2.96</v>
      </c>
      <c r="AB14" s="5">
        <f t="shared" si="4"/>
        <v>2.36</v>
      </c>
      <c r="AC14" s="5">
        <f t="shared" si="4"/>
        <v>1.87</v>
      </c>
      <c r="AD14" s="5">
        <f t="shared" si="4"/>
        <v>1.79</v>
      </c>
      <c r="AE14" s="5">
        <f t="shared" si="4"/>
        <v>1.46</v>
      </c>
      <c r="AF14" s="5">
        <f t="shared" si="4"/>
        <v>1.37</v>
      </c>
      <c r="AG14" s="5">
        <f t="shared" si="4"/>
        <v>1.3</v>
      </c>
      <c r="AH14" s="5">
        <f t="shared" si="4"/>
        <v>1.04</v>
      </c>
      <c r="AI14" s="5">
        <f t="shared" si="3"/>
        <v>0.89</v>
      </c>
      <c r="AJ14" s="5">
        <f t="shared" si="3"/>
        <v>0.82</v>
      </c>
    </row>
    <row r="15" spans="1:36">
      <c r="A15" t="str">
        <f>"primary_archetype_"&amp;TEXT(ROUND(Table213[[#This Row],[2016]],1),"0.0")</f>
        <v>primary_archetype_29.0</v>
      </c>
      <c r="B15" s="5">
        <f t="shared" si="2"/>
        <v>29</v>
      </c>
      <c r="C15" s="5">
        <f t="shared" si="1"/>
        <v>29</v>
      </c>
      <c r="D15" s="5">
        <f t="shared" si="1"/>
        <v>29</v>
      </c>
      <c r="E15" s="5">
        <f t="shared" si="1"/>
        <v>28.45</v>
      </c>
      <c r="F15" s="5">
        <f t="shared" si="1"/>
        <v>27.11</v>
      </c>
      <c r="G15" s="5">
        <f t="shared" si="1"/>
        <v>27.3</v>
      </c>
      <c r="H15" s="5">
        <f t="shared" si="1"/>
        <v>26.72</v>
      </c>
      <c r="I15" s="5">
        <f t="shared" si="1"/>
        <v>25.59</v>
      </c>
      <c r="J15" s="5">
        <f t="shared" si="1"/>
        <v>24.96</v>
      </c>
      <c r="K15" s="5">
        <f t="shared" si="1"/>
        <v>24.31</v>
      </c>
      <c r="L15" s="5">
        <f t="shared" si="1"/>
        <v>23.29</v>
      </c>
      <c r="M15" s="5">
        <f t="shared" si="1"/>
        <v>23.17</v>
      </c>
      <c r="N15" s="5">
        <f t="shared" si="1"/>
        <v>22.33</v>
      </c>
      <c r="O15" s="5">
        <f t="shared" si="1"/>
        <v>21.46</v>
      </c>
      <c r="P15" s="5">
        <f t="shared" si="1"/>
        <v>20.43</v>
      </c>
      <c r="Q15" s="5">
        <f t="shared" si="1"/>
        <v>17.42</v>
      </c>
      <c r="R15" s="5">
        <f t="shared" si="1"/>
        <v>13.36</v>
      </c>
      <c r="S15" s="5">
        <f t="shared" si="4"/>
        <v>12.06</v>
      </c>
      <c r="T15" s="5">
        <f t="shared" si="4"/>
        <v>9.24</v>
      </c>
      <c r="U15" s="5">
        <f t="shared" si="4"/>
        <v>6.41</v>
      </c>
      <c r="V15" s="5">
        <f t="shared" si="4"/>
        <v>5.99</v>
      </c>
      <c r="W15" s="5">
        <f t="shared" si="4"/>
        <v>4.75</v>
      </c>
      <c r="X15" s="5">
        <f t="shared" si="4"/>
        <v>4.12</v>
      </c>
      <c r="Y15" s="5">
        <f t="shared" si="4"/>
        <v>3.46</v>
      </c>
      <c r="Z15" s="5">
        <f t="shared" si="4"/>
        <v>3.36</v>
      </c>
      <c r="AA15" s="5">
        <f t="shared" si="4"/>
        <v>2.95</v>
      </c>
      <c r="AB15" s="5">
        <f t="shared" si="4"/>
        <v>2.36</v>
      </c>
      <c r="AC15" s="5">
        <f t="shared" si="4"/>
        <v>1.87</v>
      </c>
      <c r="AD15" s="5">
        <f t="shared" si="4"/>
        <v>1.79</v>
      </c>
      <c r="AE15" s="5">
        <f t="shared" si="4"/>
        <v>1.46</v>
      </c>
      <c r="AF15" s="5">
        <f t="shared" si="4"/>
        <v>1.36</v>
      </c>
      <c r="AG15" s="5">
        <f t="shared" si="4"/>
        <v>1.3</v>
      </c>
      <c r="AH15" s="5">
        <f t="shared" si="4"/>
        <v>1.04</v>
      </c>
      <c r="AI15" s="5">
        <f t="shared" si="3"/>
        <v>0.89</v>
      </c>
      <c r="AJ15" s="5">
        <f t="shared" si="3"/>
        <v>0.82</v>
      </c>
    </row>
    <row r="16" spans="1:36">
      <c r="A16" t="str">
        <f>"primary_archetype_"&amp;TEXT(ROUND(Table213[[#This Row],[2016]],1),"0.0")</f>
        <v>primary_archetype_28.9</v>
      </c>
      <c r="B16" s="5">
        <f t="shared" si="2"/>
        <v>28.9</v>
      </c>
      <c r="C16" s="5">
        <f t="shared" si="1"/>
        <v>28.9</v>
      </c>
      <c r="D16" s="5">
        <f t="shared" si="1"/>
        <v>28.9</v>
      </c>
      <c r="E16" s="5">
        <f t="shared" si="1"/>
        <v>28.35</v>
      </c>
      <c r="F16" s="5">
        <f t="shared" si="1"/>
        <v>27.02</v>
      </c>
      <c r="G16" s="5">
        <f t="shared" si="1"/>
        <v>27.2</v>
      </c>
      <c r="H16" s="5">
        <f t="shared" si="1"/>
        <v>26.62</v>
      </c>
      <c r="I16" s="5">
        <f t="shared" si="1"/>
        <v>25.5</v>
      </c>
      <c r="J16" s="5">
        <f t="shared" si="1"/>
        <v>24.88</v>
      </c>
      <c r="K16" s="5">
        <f t="shared" si="1"/>
        <v>24.23</v>
      </c>
      <c r="L16" s="5">
        <f t="shared" si="1"/>
        <v>23.21</v>
      </c>
      <c r="M16" s="5">
        <f t="shared" si="1"/>
        <v>23.09</v>
      </c>
      <c r="N16" s="5">
        <f t="shared" si="1"/>
        <v>22.25</v>
      </c>
      <c r="O16" s="5">
        <f t="shared" si="1"/>
        <v>21.38</v>
      </c>
      <c r="P16" s="5">
        <f t="shared" si="1"/>
        <v>20.36</v>
      </c>
      <c r="Q16" s="5">
        <f t="shared" si="1"/>
        <v>17.36</v>
      </c>
      <c r="R16" s="5">
        <f t="shared" si="1"/>
        <v>13.31</v>
      </c>
      <c r="S16" s="5">
        <f t="shared" si="4"/>
        <v>12.02</v>
      </c>
      <c r="T16" s="5">
        <f t="shared" si="4"/>
        <v>9.22</v>
      </c>
      <c r="U16" s="5">
        <f t="shared" si="4"/>
        <v>6.39</v>
      </c>
      <c r="V16" s="5">
        <f t="shared" si="4"/>
        <v>5.98</v>
      </c>
      <c r="W16" s="5">
        <f t="shared" si="4"/>
        <v>4.74</v>
      </c>
      <c r="X16" s="5">
        <f t="shared" si="4"/>
        <v>4.11</v>
      </c>
      <c r="Y16" s="5">
        <f t="shared" si="4"/>
        <v>3.46</v>
      </c>
      <c r="Z16" s="5">
        <f t="shared" si="4"/>
        <v>3.35</v>
      </c>
      <c r="AA16" s="5">
        <f t="shared" si="4"/>
        <v>2.95</v>
      </c>
      <c r="AB16" s="5">
        <f t="shared" si="4"/>
        <v>2.35</v>
      </c>
      <c r="AC16" s="5">
        <f t="shared" si="4"/>
        <v>1.86</v>
      </c>
      <c r="AD16" s="5">
        <f t="shared" si="4"/>
        <v>1.78</v>
      </c>
      <c r="AE16" s="5">
        <f t="shared" si="4"/>
        <v>1.45</v>
      </c>
      <c r="AF16" s="5">
        <f t="shared" si="4"/>
        <v>1.36</v>
      </c>
      <c r="AG16" s="5">
        <f t="shared" si="4"/>
        <v>1.29</v>
      </c>
      <c r="AH16" s="5">
        <f t="shared" si="4"/>
        <v>1.04</v>
      </c>
      <c r="AI16" s="5">
        <f t="shared" si="3"/>
        <v>0.89</v>
      </c>
      <c r="AJ16" s="5">
        <f t="shared" si="3"/>
        <v>0.82</v>
      </c>
    </row>
    <row r="17" spans="1:36">
      <c r="A17" t="str">
        <f>"primary_archetype_"&amp;TEXT(ROUND(Table213[[#This Row],[2016]],1),"0.0")</f>
        <v>primary_archetype_28.8</v>
      </c>
      <c r="B17" s="5">
        <f t="shared" si="2"/>
        <v>28.8</v>
      </c>
      <c r="C17" s="5">
        <f t="shared" si="1"/>
        <v>28.8</v>
      </c>
      <c r="D17" s="5">
        <f t="shared" si="1"/>
        <v>28.8</v>
      </c>
      <c r="E17" s="5">
        <f t="shared" si="1"/>
        <v>28.25</v>
      </c>
      <c r="F17" s="5">
        <f t="shared" si="1"/>
        <v>26.92</v>
      </c>
      <c r="G17" s="5">
        <f t="shared" si="1"/>
        <v>27.11</v>
      </c>
      <c r="H17" s="5">
        <f t="shared" si="1"/>
        <v>26.53</v>
      </c>
      <c r="I17" s="5">
        <f t="shared" si="1"/>
        <v>25.42</v>
      </c>
      <c r="J17" s="5">
        <f t="shared" si="1"/>
        <v>24.79</v>
      </c>
      <c r="K17" s="5">
        <f t="shared" si="1"/>
        <v>24.15</v>
      </c>
      <c r="L17" s="5">
        <f t="shared" si="1"/>
        <v>23.13</v>
      </c>
      <c r="M17" s="5">
        <f t="shared" si="1"/>
        <v>23.01</v>
      </c>
      <c r="N17" s="5">
        <f t="shared" si="1"/>
        <v>22.17</v>
      </c>
      <c r="O17" s="5">
        <f t="shared" si="1"/>
        <v>21.31</v>
      </c>
      <c r="P17" s="5">
        <f t="shared" si="1"/>
        <v>20.29</v>
      </c>
      <c r="Q17" s="5">
        <f t="shared" si="1"/>
        <v>17.3</v>
      </c>
      <c r="R17" s="5">
        <f t="shared" si="1"/>
        <v>13.27</v>
      </c>
      <c r="S17" s="5">
        <f t="shared" si="4"/>
        <v>11.98</v>
      </c>
      <c r="T17" s="5">
        <f t="shared" si="4"/>
        <v>9.19</v>
      </c>
      <c r="U17" s="5">
        <f t="shared" si="4"/>
        <v>6.37</v>
      </c>
      <c r="V17" s="5">
        <f t="shared" si="4"/>
        <v>5.96</v>
      </c>
      <c r="W17" s="5">
        <f t="shared" si="4"/>
        <v>4.73</v>
      </c>
      <c r="X17" s="5">
        <f t="shared" si="4"/>
        <v>4.1</v>
      </c>
      <c r="Y17" s="5">
        <f t="shared" si="4"/>
        <v>3.45</v>
      </c>
      <c r="Z17" s="5">
        <f t="shared" si="4"/>
        <v>3.35</v>
      </c>
      <c r="AA17" s="5">
        <f t="shared" si="4"/>
        <v>2.94</v>
      </c>
      <c r="AB17" s="5">
        <f t="shared" si="4"/>
        <v>2.35</v>
      </c>
      <c r="AC17" s="5">
        <f t="shared" si="4"/>
        <v>1.86</v>
      </c>
      <c r="AD17" s="5">
        <f t="shared" si="4"/>
        <v>1.78</v>
      </c>
      <c r="AE17" s="5">
        <f t="shared" si="4"/>
        <v>1.45</v>
      </c>
      <c r="AF17" s="5">
        <f t="shared" si="4"/>
        <v>1.36</v>
      </c>
      <c r="AG17" s="5">
        <f t="shared" si="4"/>
        <v>1.29</v>
      </c>
      <c r="AH17" s="5">
        <f t="shared" si="4"/>
        <v>1.04</v>
      </c>
      <c r="AI17" s="5">
        <f t="shared" si="3"/>
        <v>0.89</v>
      </c>
      <c r="AJ17" s="5">
        <f t="shared" si="3"/>
        <v>0.82</v>
      </c>
    </row>
    <row r="18" spans="1:36">
      <c r="A18" t="str">
        <f>"primary_archetype_"&amp;TEXT(ROUND(Table213[[#This Row],[2016]],1),"0.0")</f>
        <v>primary_archetype_28.7</v>
      </c>
      <c r="B18" s="5">
        <f t="shared" si="2"/>
        <v>28.7</v>
      </c>
      <c r="C18" s="5">
        <f t="shared" si="1"/>
        <v>28.7</v>
      </c>
      <c r="D18" s="5">
        <f t="shared" si="1"/>
        <v>28.7</v>
      </c>
      <c r="E18" s="5">
        <f t="shared" si="1"/>
        <v>28.15</v>
      </c>
      <c r="F18" s="5">
        <f t="shared" si="1"/>
        <v>26.83</v>
      </c>
      <c r="G18" s="5">
        <f t="shared" si="1"/>
        <v>27.01</v>
      </c>
      <c r="H18" s="5">
        <f t="shared" si="1"/>
        <v>26.44</v>
      </c>
      <c r="I18" s="5">
        <f t="shared" si="1"/>
        <v>25.33</v>
      </c>
      <c r="J18" s="5">
        <f t="shared" si="1"/>
        <v>24.7</v>
      </c>
      <c r="K18" s="5">
        <f t="shared" si="1"/>
        <v>24.06</v>
      </c>
      <c r="L18" s="5">
        <f t="shared" si="1"/>
        <v>23.05</v>
      </c>
      <c r="M18" s="5">
        <f t="shared" si="1"/>
        <v>22.93</v>
      </c>
      <c r="N18" s="5">
        <f t="shared" si="1"/>
        <v>22.1</v>
      </c>
      <c r="O18" s="5">
        <f t="shared" si="1"/>
        <v>21.24</v>
      </c>
      <c r="P18" s="5">
        <f t="shared" si="1"/>
        <v>20.22</v>
      </c>
      <c r="Q18" s="5">
        <f t="shared" si="1"/>
        <v>17.24</v>
      </c>
      <c r="R18" s="5">
        <f t="shared" si="1"/>
        <v>13.22</v>
      </c>
      <c r="S18" s="5">
        <f t="shared" si="4"/>
        <v>11.94</v>
      </c>
      <c r="T18" s="5">
        <f t="shared" si="4"/>
        <v>9.16</v>
      </c>
      <c r="U18" s="5">
        <f t="shared" si="4"/>
        <v>6.35</v>
      </c>
      <c r="V18" s="5">
        <f t="shared" si="4"/>
        <v>5.94</v>
      </c>
      <c r="W18" s="5">
        <f t="shared" si="4"/>
        <v>4.71</v>
      </c>
      <c r="X18" s="5">
        <f t="shared" si="4"/>
        <v>4.09</v>
      </c>
      <c r="Y18" s="5">
        <f t="shared" si="4"/>
        <v>3.44</v>
      </c>
      <c r="Z18" s="5">
        <f t="shared" si="4"/>
        <v>3.34</v>
      </c>
      <c r="AA18" s="5">
        <f t="shared" si="4"/>
        <v>2.93</v>
      </c>
      <c r="AB18" s="5">
        <f t="shared" si="4"/>
        <v>2.34</v>
      </c>
      <c r="AC18" s="5">
        <f t="shared" si="4"/>
        <v>1.86</v>
      </c>
      <c r="AD18" s="5">
        <f t="shared" si="4"/>
        <v>1.78</v>
      </c>
      <c r="AE18" s="5">
        <f t="shared" si="4"/>
        <v>1.45</v>
      </c>
      <c r="AF18" s="5">
        <f t="shared" si="4"/>
        <v>1.36</v>
      </c>
      <c r="AG18" s="5">
        <f t="shared" si="4"/>
        <v>1.29</v>
      </c>
      <c r="AH18" s="5">
        <f t="shared" si="4"/>
        <v>1.04</v>
      </c>
      <c r="AI18" s="5">
        <f t="shared" si="3"/>
        <v>0.89</v>
      </c>
      <c r="AJ18" s="5">
        <f t="shared" si="3"/>
        <v>0.82</v>
      </c>
    </row>
    <row r="19" spans="1:36">
      <c r="A19" t="str">
        <f>"primary_archetype_"&amp;TEXT(ROUND(Table213[[#This Row],[2016]],1),"0.0")</f>
        <v>primary_archetype_28.6</v>
      </c>
      <c r="B19" s="5">
        <f t="shared" si="2"/>
        <v>28.6</v>
      </c>
      <c r="C19" s="5">
        <f t="shared" si="1"/>
        <v>28.6</v>
      </c>
      <c r="D19" s="5">
        <f t="shared" si="1"/>
        <v>28.6</v>
      </c>
      <c r="E19" s="5">
        <f t="shared" si="1"/>
        <v>28.05</v>
      </c>
      <c r="F19" s="5">
        <f t="shared" si="1"/>
        <v>26.74</v>
      </c>
      <c r="G19" s="5">
        <f t="shared" si="1"/>
        <v>26.92</v>
      </c>
      <c r="H19" s="5">
        <f t="shared" si="1"/>
        <v>26.35</v>
      </c>
      <c r="I19" s="5">
        <f t="shared" si="1"/>
        <v>25.24</v>
      </c>
      <c r="J19" s="5">
        <f t="shared" si="1"/>
        <v>24.62</v>
      </c>
      <c r="K19" s="5">
        <f t="shared" si="1"/>
        <v>23.98</v>
      </c>
      <c r="L19" s="5">
        <f t="shared" si="1"/>
        <v>22.97</v>
      </c>
      <c r="M19" s="5">
        <f t="shared" si="1"/>
        <v>22.85</v>
      </c>
      <c r="N19" s="5">
        <f t="shared" si="1"/>
        <v>22.02</v>
      </c>
      <c r="O19" s="5">
        <f t="shared" si="1"/>
        <v>21.17</v>
      </c>
      <c r="P19" s="5">
        <f t="shared" si="1"/>
        <v>20.15</v>
      </c>
      <c r="Q19" s="5">
        <f t="shared" si="1"/>
        <v>17.18</v>
      </c>
      <c r="R19" s="5">
        <f t="shared" si="1"/>
        <v>13.18</v>
      </c>
      <c r="S19" s="5">
        <f t="shared" si="4"/>
        <v>11.9</v>
      </c>
      <c r="T19" s="5">
        <f t="shared" si="4"/>
        <v>9.13</v>
      </c>
      <c r="U19" s="5">
        <f t="shared" si="4"/>
        <v>6.33</v>
      </c>
      <c r="V19" s="5">
        <f t="shared" si="4"/>
        <v>5.92</v>
      </c>
      <c r="W19" s="5">
        <f t="shared" si="4"/>
        <v>4.7</v>
      </c>
      <c r="X19" s="5">
        <f t="shared" si="4"/>
        <v>4.08</v>
      </c>
      <c r="Y19" s="5">
        <f t="shared" si="4"/>
        <v>3.43</v>
      </c>
      <c r="Z19" s="5">
        <f t="shared" si="4"/>
        <v>3.33</v>
      </c>
      <c r="AA19" s="5">
        <f t="shared" si="4"/>
        <v>2.93</v>
      </c>
      <c r="AB19" s="5">
        <f t="shared" si="4"/>
        <v>2.34</v>
      </c>
      <c r="AC19" s="5">
        <f t="shared" si="4"/>
        <v>1.86</v>
      </c>
      <c r="AD19" s="5">
        <f t="shared" si="4"/>
        <v>1.78</v>
      </c>
      <c r="AE19" s="5">
        <f t="shared" si="4"/>
        <v>1.45</v>
      </c>
      <c r="AF19" s="5">
        <f t="shared" si="4"/>
        <v>1.36</v>
      </c>
      <c r="AG19" s="5">
        <f t="shared" si="4"/>
        <v>1.29</v>
      </c>
      <c r="AH19" s="5">
        <f t="shared" si="4"/>
        <v>1.04</v>
      </c>
      <c r="AI19" s="5">
        <f t="shared" si="3"/>
        <v>0.89</v>
      </c>
      <c r="AJ19" s="5">
        <f t="shared" si="3"/>
        <v>0.82</v>
      </c>
    </row>
    <row r="20" spans="1:36">
      <c r="A20" t="str">
        <f>"primary_archetype_"&amp;TEXT(ROUND(Table213[[#This Row],[2016]],1),"0.0")</f>
        <v>primary_archetype_28.5</v>
      </c>
      <c r="B20" s="5">
        <f t="shared" si="2"/>
        <v>28.5</v>
      </c>
      <c r="C20" s="5">
        <f t="shared" si="1"/>
        <v>28.5</v>
      </c>
      <c r="D20" s="5">
        <f t="shared" si="1"/>
        <v>28.5</v>
      </c>
      <c r="E20" s="5">
        <f t="shared" si="1"/>
        <v>27.96</v>
      </c>
      <c r="F20" s="5">
        <f t="shared" si="1"/>
        <v>26.64</v>
      </c>
      <c r="G20" s="5">
        <f t="shared" si="1"/>
        <v>26.83</v>
      </c>
      <c r="H20" s="5">
        <f t="shared" si="1"/>
        <v>26.26</v>
      </c>
      <c r="I20" s="5">
        <f t="shared" si="1"/>
        <v>25.15</v>
      </c>
      <c r="J20" s="5">
        <f t="shared" si="1"/>
        <v>24.53</v>
      </c>
      <c r="K20" s="5">
        <f t="shared" si="1"/>
        <v>23.9</v>
      </c>
      <c r="L20" s="5">
        <f t="shared" si="1"/>
        <v>22.89</v>
      </c>
      <c r="M20" s="5">
        <f t="shared" si="1"/>
        <v>22.77</v>
      </c>
      <c r="N20" s="5">
        <f t="shared" si="1"/>
        <v>21.95</v>
      </c>
      <c r="O20" s="5">
        <f t="shared" si="1"/>
        <v>21.09</v>
      </c>
      <c r="P20" s="5">
        <f t="shared" si="1"/>
        <v>20.08</v>
      </c>
      <c r="Q20" s="5">
        <f t="shared" si="1"/>
        <v>17.13</v>
      </c>
      <c r="R20" s="5">
        <f t="shared" si="1"/>
        <v>13.14</v>
      </c>
      <c r="S20" s="5">
        <f t="shared" si="4"/>
        <v>11.86</v>
      </c>
      <c r="T20" s="5">
        <f t="shared" si="4"/>
        <v>9.1</v>
      </c>
      <c r="U20" s="5">
        <f t="shared" si="4"/>
        <v>6.31</v>
      </c>
      <c r="V20" s="5">
        <f t="shared" si="4"/>
        <v>5.91</v>
      </c>
      <c r="W20" s="5">
        <f t="shared" si="4"/>
        <v>4.69</v>
      </c>
      <c r="X20" s="5">
        <f t="shared" si="4"/>
        <v>4.07</v>
      </c>
      <c r="Y20" s="5">
        <f t="shared" si="4"/>
        <v>3.42</v>
      </c>
      <c r="Z20" s="5">
        <f t="shared" si="4"/>
        <v>3.32</v>
      </c>
      <c r="AA20" s="5">
        <f t="shared" si="4"/>
        <v>2.92</v>
      </c>
      <c r="AB20" s="5">
        <f t="shared" si="4"/>
        <v>2.33</v>
      </c>
      <c r="AC20" s="5">
        <f t="shared" si="4"/>
        <v>1.85</v>
      </c>
      <c r="AD20" s="5">
        <f t="shared" si="4"/>
        <v>1.77</v>
      </c>
      <c r="AE20" s="5">
        <f t="shared" si="4"/>
        <v>1.45</v>
      </c>
      <c r="AF20" s="5">
        <f t="shared" si="4"/>
        <v>1.36</v>
      </c>
      <c r="AG20" s="5">
        <f t="shared" si="4"/>
        <v>1.29</v>
      </c>
      <c r="AH20" s="5">
        <f t="shared" si="4"/>
        <v>1.04</v>
      </c>
      <c r="AI20" s="5">
        <f t="shared" si="3"/>
        <v>0.89</v>
      </c>
      <c r="AJ20" s="5">
        <f t="shared" si="3"/>
        <v>0.83</v>
      </c>
    </row>
    <row r="21" spans="1:36">
      <c r="A21" t="str">
        <f>"primary_archetype_"&amp;TEXT(ROUND(Table213[[#This Row],[2016]],1),"0.0")</f>
        <v>primary_archetype_28.4</v>
      </c>
      <c r="B21" s="5">
        <f t="shared" si="2"/>
        <v>28.4</v>
      </c>
      <c r="C21" s="5">
        <f t="shared" si="1"/>
        <v>28.4</v>
      </c>
      <c r="D21" s="5">
        <f t="shared" si="1"/>
        <v>28.4</v>
      </c>
      <c r="E21" s="5">
        <f t="shared" si="1"/>
        <v>27.86</v>
      </c>
      <c r="F21" s="5">
        <f t="shared" si="1"/>
        <v>26.55</v>
      </c>
      <c r="G21" s="5">
        <f t="shared" si="1"/>
        <v>26.73</v>
      </c>
      <c r="H21" s="5">
        <f t="shared" si="1"/>
        <v>26.16</v>
      </c>
      <c r="I21" s="5">
        <f t="shared" si="1"/>
        <v>25.06</v>
      </c>
      <c r="J21" s="5">
        <f t="shared" si="1"/>
        <v>24.45</v>
      </c>
      <c r="K21" s="5">
        <f t="shared" si="1"/>
        <v>23.81</v>
      </c>
      <c r="L21" s="5">
        <f t="shared" si="1"/>
        <v>22.81</v>
      </c>
      <c r="M21" s="5">
        <f t="shared" si="1"/>
        <v>22.69</v>
      </c>
      <c r="N21" s="5">
        <f t="shared" si="1"/>
        <v>21.87</v>
      </c>
      <c r="O21" s="5">
        <f t="shared" si="1"/>
        <v>21.02</v>
      </c>
      <c r="P21" s="5">
        <f t="shared" si="1"/>
        <v>20.01</v>
      </c>
      <c r="Q21" s="5">
        <f t="shared" si="1"/>
        <v>17.07</v>
      </c>
      <c r="R21" s="5">
        <f t="shared" si="1"/>
        <v>13.09</v>
      </c>
      <c r="S21" s="5">
        <f t="shared" si="4"/>
        <v>11.82</v>
      </c>
      <c r="T21" s="5">
        <f t="shared" si="4"/>
        <v>9.07</v>
      </c>
      <c r="U21" s="5">
        <f t="shared" si="4"/>
        <v>6.29</v>
      </c>
      <c r="V21" s="5">
        <f t="shared" si="4"/>
        <v>5.89</v>
      </c>
      <c r="W21" s="5">
        <f t="shared" si="4"/>
        <v>4.67</v>
      </c>
      <c r="X21" s="5">
        <f t="shared" si="4"/>
        <v>4.05</v>
      </c>
      <c r="Y21" s="5">
        <f t="shared" si="4"/>
        <v>3.41</v>
      </c>
      <c r="Z21" s="5">
        <f t="shared" si="4"/>
        <v>3.31</v>
      </c>
      <c r="AA21" s="5">
        <f t="shared" si="4"/>
        <v>2.91</v>
      </c>
      <c r="AB21" s="5">
        <f t="shared" si="4"/>
        <v>2.33</v>
      </c>
      <c r="AC21" s="5">
        <f t="shared" si="4"/>
        <v>1.85</v>
      </c>
      <c r="AD21" s="5">
        <f t="shared" si="4"/>
        <v>1.77</v>
      </c>
      <c r="AE21" s="5">
        <f t="shared" si="4"/>
        <v>1.45</v>
      </c>
      <c r="AF21" s="5">
        <f t="shared" si="4"/>
        <v>1.36</v>
      </c>
      <c r="AG21" s="5">
        <f t="shared" si="4"/>
        <v>1.29</v>
      </c>
      <c r="AH21" s="5">
        <f t="shared" si="4"/>
        <v>1.04</v>
      </c>
      <c r="AI21" s="5">
        <f t="shared" si="3"/>
        <v>0.89</v>
      </c>
      <c r="AJ21" s="5">
        <f t="shared" si="3"/>
        <v>0.83</v>
      </c>
    </row>
    <row r="22" spans="1:36">
      <c r="A22" t="str">
        <f>"primary_archetype_"&amp;TEXT(ROUND(Table213[[#This Row],[2016]],1),"0.0")</f>
        <v>primary_archetype_28.3</v>
      </c>
      <c r="B22" s="5">
        <f t="shared" si="2"/>
        <v>28.3</v>
      </c>
      <c r="C22" s="5">
        <f t="shared" si="1"/>
        <v>28.3</v>
      </c>
      <c r="D22" s="5">
        <f t="shared" si="1"/>
        <v>28.3</v>
      </c>
      <c r="E22" s="5">
        <f t="shared" si="1"/>
        <v>27.76</v>
      </c>
      <c r="F22" s="5">
        <f t="shared" si="1"/>
        <v>26.46</v>
      </c>
      <c r="G22" s="5">
        <f t="shared" si="1"/>
        <v>26.64</v>
      </c>
      <c r="H22" s="5">
        <f t="shared" si="1"/>
        <v>26.07</v>
      </c>
      <c r="I22" s="5">
        <f t="shared" si="1"/>
        <v>24.98</v>
      </c>
      <c r="J22" s="5">
        <f t="shared" si="1"/>
        <v>24.36</v>
      </c>
      <c r="K22" s="5">
        <f t="shared" si="1"/>
        <v>23.73</v>
      </c>
      <c r="L22" s="5">
        <f t="shared" si="1"/>
        <v>22.73</v>
      </c>
      <c r="M22" s="5">
        <f t="shared" si="1"/>
        <v>22.61</v>
      </c>
      <c r="N22" s="5">
        <f t="shared" si="1"/>
        <v>21.79</v>
      </c>
      <c r="O22" s="5">
        <f t="shared" si="1"/>
        <v>20.95</v>
      </c>
      <c r="P22" s="5">
        <f t="shared" si="1"/>
        <v>19.94</v>
      </c>
      <c r="Q22" s="5">
        <f t="shared" si="1"/>
        <v>17.01</v>
      </c>
      <c r="R22" s="5">
        <f t="shared" si="1"/>
        <v>13.05</v>
      </c>
      <c r="S22" s="5">
        <f t="shared" si="4"/>
        <v>11.78</v>
      </c>
      <c r="T22" s="5">
        <f t="shared" si="4"/>
        <v>9.04</v>
      </c>
      <c r="U22" s="5">
        <f t="shared" si="4"/>
        <v>6.27</v>
      </c>
      <c r="V22" s="5">
        <f t="shared" si="4"/>
        <v>5.87</v>
      </c>
      <c r="W22" s="5">
        <f t="shared" si="4"/>
        <v>4.66</v>
      </c>
      <c r="X22" s="5">
        <f t="shared" si="4"/>
        <v>4.04</v>
      </c>
      <c r="Y22" s="5">
        <f t="shared" si="4"/>
        <v>3.4</v>
      </c>
      <c r="Z22" s="5">
        <f t="shared" si="4"/>
        <v>3.3</v>
      </c>
      <c r="AA22" s="5">
        <f t="shared" si="4"/>
        <v>2.91</v>
      </c>
      <c r="AB22" s="5">
        <f t="shared" si="4"/>
        <v>2.32</v>
      </c>
      <c r="AC22" s="5">
        <f t="shared" si="4"/>
        <v>1.85</v>
      </c>
      <c r="AD22" s="5">
        <f t="shared" si="4"/>
        <v>1.77</v>
      </c>
      <c r="AE22" s="5">
        <f t="shared" si="4"/>
        <v>1.45</v>
      </c>
      <c r="AF22" s="5">
        <f t="shared" si="4"/>
        <v>1.36</v>
      </c>
      <c r="AG22" s="5">
        <f t="shared" si="4"/>
        <v>1.29</v>
      </c>
      <c r="AH22" s="5">
        <f t="shared" si="4"/>
        <v>1.04</v>
      </c>
      <c r="AI22" s="5">
        <f t="shared" si="3"/>
        <v>0.89</v>
      </c>
      <c r="AJ22" s="5">
        <f t="shared" si="3"/>
        <v>0.83</v>
      </c>
    </row>
    <row r="23" spans="1:36">
      <c r="A23" t="str">
        <f>"primary_archetype_"&amp;TEXT(ROUND(Table213[[#This Row],[2016]],1),"0.0")</f>
        <v>primary_archetype_28.2</v>
      </c>
      <c r="B23" s="5">
        <f t="shared" si="2"/>
        <v>28.2</v>
      </c>
      <c r="C23" s="5">
        <f t="shared" si="1"/>
        <v>28.2</v>
      </c>
      <c r="D23" s="5">
        <f t="shared" si="1"/>
        <v>28.2</v>
      </c>
      <c r="E23" s="5">
        <f t="shared" si="1"/>
        <v>27.66</v>
      </c>
      <c r="F23" s="5">
        <f t="shared" si="1"/>
        <v>26.36</v>
      </c>
      <c r="G23" s="5">
        <f t="shared" si="1"/>
        <v>26.54</v>
      </c>
      <c r="H23" s="5">
        <f t="shared" si="1"/>
        <v>25.98</v>
      </c>
      <c r="I23" s="5">
        <f t="shared" si="1"/>
        <v>24.89</v>
      </c>
      <c r="J23" s="5">
        <f t="shared" si="1"/>
        <v>24.28</v>
      </c>
      <c r="K23" s="5">
        <f t="shared" si="1"/>
        <v>23.65</v>
      </c>
      <c r="L23" s="5">
        <f t="shared" si="1"/>
        <v>22.65</v>
      </c>
      <c r="M23" s="5">
        <f t="shared" si="1"/>
        <v>22.53</v>
      </c>
      <c r="N23" s="5">
        <f t="shared" si="1"/>
        <v>21.72</v>
      </c>
      <c r="O23" s="5">
        <f t="shared" si="1"/>
        <v>20.87</v>
      </c>
      <c r="P23" s="5">
        <f t="shared" si="1"/>
        <v>19.87</v>
      </c>
      <c r="Q23" s="5">
        <f t="shared" si="1"/>
        <v>16.95</v>
      </c>
      <c r="R23" s="5">
        <f t="shared" si="1"/>
        <v>13</v>
      </c>
      <c r="S23" s="5">
        <f t="shared" si="4"/>
        <v>11.75</v>
      </c>
      <c r="T23" s="5">
        <f t="shared" si="4"/>
        <v>9.01</v>
      </c>
      <c r="U23" s="5">
        <f t="shared" si="4"/>
        <v>6.25</v>
      </c>
      <c r="V23" s="5">
        <f t="shared" si="4"/>
        <v>5.85</v>
      </c>
      <c r="W23" s="5">
        <f t="shared" si="4"/>
        <v>4.65</v>
      </c>
      <c r="X23" s="5">
        <f t="shared" si="4"/>
        <v>4.03</v>
      </c>
      <c r="Y23" s="5">
        <f t="shared" si="4"/>
        <v>3.4</v>
      </c>
      <c r="Z23" s="5">
        <f t="shared" si="4"/>
        <v>3.3</v>
      </c>
      <c r="AA23" s="5">
        <f t="shared" si="4"/>
        <v>2.9</v>
      </c>
      <c r="AB23" s="5">
        <f t="shared" si="4"/>
        <v>2.32</v>
      </c>
      <c r="AC23" s="5">
        <f t="shared" si="4"/>
        <v>1.84</v>
      </c>
      <c r="AD23" s="5">
        <f t="shared" si="4"/>
        <v>1.76</v>
      </c>
      <c r="AE23" s="5">
        <f t="shared" si="4"/>
        <v>1.44</v>
      </c>
      <c r="AF23" s="5">
        <f t="shared" si="4"/>
        <v>1.35</v>
      </c>
      <c r="AG23" s="5">
        <f t="shared" si="4"/>
        <v>1.29</v>
      </c>
      <c r="AH23" s="5">
        <f t="shared" si="4"/>
        <v>1.04</v>
      </c>
      <c r="AI23" s="5">
        <f t="shared" si="3"/>
        <v>0.89</v>
      </c>
      <c r="AJ23" s="5">
        <f t="shared" si="3"/>
        <v>0.83</v>
      </c>
    </row>
    <row r="24" spans="1:36">
      <c r="A24" t="str">
        <f>"primary_archetype_"&amp;TEXT(ROUND(Table213[[#This Row],[2016]],1),"0.0")</f>
        <v>primary_archetype_28.1</v>
      </c>
      <c r="B24" s="5">
        <f t="shared" si="2"/>
        <v>28.1</v>
      </c>
      <c r="C24" s="5">
        <f t="shared" si="1"/>
        <v>28.1</v>
      </c>
      <c r="D24" s="5">
        <f t="shared" si="1"/>
        <v>28.1</v>
      </c>
      <c r="E24" s="5">
        <f t="shared" si="1"/>
        <v>27.56</v>
      </c>
      <c r="F24" s="5">
        <f t="shared" si="1"/>
        <v>26.27</v>
      </c>
      <c r="G24" s="5">
        <f t="shared" si="1"/>
        <v>26.45</v>
      </c>
      <c r="H24" s="5">
        <f t="shared" si="1"/>
        <v>25.89</v>
      </c>
      <c r="I24" s="5">
        <f t="shared" si="1"/>
        <v>24.8</v>
      </c>
      <c r="J24" s="5">
        <f t="shared" si="1"/>
        <v>24.19</v>
      </c>
      <c r="K24" s="5">
        <f t="shared" si="1"/>
        <v>23.56</v>
      </c>
      <c r="L24" s="5">
        <f t="shared" si="1"/>
        <v>22.57</v>
      </c>
      <c r="M24" s="5">
        <f t="shared" si="1"/>
        <v>22.45</v>
      </c>
      <c r="N24" s="5">
        <f t="shared" si="1"/>
        <v>21.64</v>
      </c>
      <c r="O24" s="5">
        <f t="shared" si="1"/>
        <v>20.8</v>
      </c>
      <c r="P24" s="5">
        <f t="shared" si="1"/>
        <v>19.81</v>
      </c>
      <c r="Q24" s="5">
        <f t="shared" si="1"/>
        <v>16.89</v>
      </c>
      <c r="R24" s="5">
        <f t="shared" si="1"/>
        <v>12.96</v>
      </c>
      <c r="S24" s="5">
        <f t="shared" si="4"/>
        <v>11.71</v>
      </c>
      <c r="T24" s="5">
        <f t="shared" si="4"/>
        <v>8.98</v>
      </c>
      <c r="U24" s="5">
        <f t="shared" si="4"/>
        <v>6.23</v>
      </c>
      <c r="V24" s="5">
        <f t="shared" si="4"/>
        <v>5.83</v>
      </c>
      <c r="W24" s="5">
        <f t="shared" si="4"/>
        <v>4.63</v>
      </c>
      <c r="X24" s="5">
        <f t="shared" si="4"/>
        <v>4.02</v>
      </c>
      <c r="Y24" s="5">
        <f t="shared" si="4"/>
        <v>3.39</v>
      </c>
      <c r="Z24" s="5">
        <f t="shared" si="4"/>
        <v>3.29</v>
      </c>
      <c r="AA24" s="5">
        <f t="shared" si="4"/>
        <v>2.89</v>
      </c>
      <c r="AB24" s="5">
        <f t="shared" si="4"/>
        <v>2.31</v>
      </c>
      <c r="AC24" s="5">
        <f t="shared" si="4"/>
        <v>1.84</v>
      </c>
      <c r="AD24" s="5">
        <f t="shared" si="4"/>
        <v>1.76</v>
      </c>
      <c r="AE24" s="5">
        <f t="shared" si="4"/>
        <v>1.44</v>
      </c>
      <c r="AF24" s="5">
        <f t="shared" si="4"/>
        <v>1.35</v>
      </c>
      <c r="AG24" s="5">
        <f t="shared" si="4"/>
        <v>1.29</v>
      </c>
      <c r="AH24" s="5">
        <f t="shared" si="4"/>
        <v>1.04</v>
      </c>
      <c r="AI24" s="5">
        <f t="shared" si="3"/>
        <v>0.9</v>
      </c>
      <c r="AJ24" s="5">
        <f t="shared" si="3"/>
        <v>0.83</v>
      </c>
    </row>
    <row r="25" spans="1:36">
      <c r="A25" t="str">
        <f>"primary_archetype_"&amp;TEXT(ROUND(Table213[[#This Row],[2016]],1),"0.0")</f>
        <v>primary_archetype_28.0</v>
      </c>
      <c r="B25" s="5">
        <f t="shared" si="2"/>
        <v>28</v>
      </c>
      <c r="C25" s="5">
        <f t="shared" si="1"/>
        <v>28</v>
      </c>
      <c r="D25" s="5">
        <f t="shared" si="1"/>
        <v>28</v>
      </c>
      <c r="E25" s="5">
        <f t="shared" si="1"/>
        <v>27.47</v>
      </c>
      <c r="F25" s="5">
        <f t="shared" si="1"/>
        <v>26.18</v>
      </c>
      <c r="G25" s="5">
        <f t="shared" si="1"/>
        <v>26.36</v>
      </c>
      <c r="H25" s="5">
        <f t="shared" si="1"/>
        <v>25.8</v>
      </c>
      <c r="I25" s="5">
        <f t="shared" si="1"/>
        <v>24.71</v>
      </c>
      <c r="J25" s="5">
        <f t="shared" si="1"/>
        <v>24.11</v>
      </c>
      <c r="K25" s="5">
        <f t="shared" si="1"/>
        <v>23.48</v>
      </c>
      <c r="L25" s="5">
        <f t="shared" si="1"/>
        <v>22.49</v>
      </c>
      <c r="M25" s="5">
        <f t="shared" si="1"/>
        <v>22.37</v>
      </c>
      <c r="N25" s="5">
        <f t="shared" si="1"/>
        <v>21.57</v>
      </c>
      <c r="O25" s="5">
        <f t="shared" si="1"/>
        <v>20.73</v>
      </c>
      <c r="P25" s="5">
        <f t="shared" si="1"/>
        <v>19.74</v>
      </c>
      <c r="Q25" s="5">
        <f t="shared" si="1"/>
        <v>16.83</v>
      </c>
      <c r="R25" s="5">
        <f t="shared" si="1"/>
        <v>12.92</v>
      </c>
      <c r="S25" s="5">
        <f t="shared" si="4"/>
        <v>11.67</v>
      </c>
      <c r="T25" s="5">
        <f t="shared" si="4"/>
        <v>8.95</v>
      </c>
      <c r="U25" s="5">
        <f t="shared" si="4"/>
        <v>6.21</v>
      </c>
      <c r="V25" s="5">
        <f t="shared" si="4"/>
        <v>5.82</v>
      </c>
      <c r="W25" s="5">
        <f t="shared" si="4"/>
        <v>4.62</v>
      </c>
      <c r="X25" s="5">
        <f t="shared" si="4"/>
        <v>4.01</v>
      </c>
      <c r="Y25" s="5">
        <f t="shared" si="4"/>
        <v>3.38</v>
      </c>
      <c r="Z25" s="5">
        <f t="shared" si="4"/>
        <v>3.28</v>
      </c>
      <c r="AA25" s="5">
        <f t="shared" si="4"/>
        <v>2.88</v>
      </c>
      <c r="AB25" s="5">
        <f t="shared" si="4"/>
        <v>2.31</v>
      </c>
      <c r="AC25" s="5">
        <f t="shared" si="4"/>
        <v>1.84</v>
      </c>
      <c r="AD25" s="5">
        <f t="shared" si="4"/>
        <v>1.76</v>
      </c>
      <c r="AE25" s="5">
        <f t="shared" si="4"/>
        <v>1.44</v>
      </c>
      <c r="AF25" s="5">
        <f t="shared" si="4"/>
        <v>1.35</v>
      </c>
      <c r="AG25" s="5">
        <f t="shared" si="4"/>
        <v>1.29</v>
      </c>
      <c r="AH25" s="5">
        <f t="shared" si="4"/>
        <v>1.04</v>
      </c>
      <c r="AI25" s="5">
        <f t="shared" si="3"/>
        <v>0.9</v>
      </c>
      <c r="AJ25" s="5">
        <f t="shared" si="3"/>
        <v>0.83</v>
      </c>
    </row>
    <row r="26" spans="1:36">
      <c r="A26" t="str">
        <f>"primary_archetype_"&amp;TEXT(ROUND(Table213[[#This Row],[2016]],1),"0.0")</f>
        <v>primary_archetype_27.9</v>
      </c>
      <c r="B26" s="5">
        <f t="shared" si="2"/>
        <v>27.9</v>
      </c>
      <c r="C26" s="5">
        <f t="shared" si="1"/>
        <v>27.9</v>
      </c>
      <c r="D26" s="5">
        <f t="shared" si="1"/>
        <v>27.9</v>
      </c>
      <c r="E26" s="5">
        <f t="shared" si="1"/>
        <v>27.37</v>
      </c>
      <c r="F26" s="5">
        <f t="shared" si="1"/>
        <v>26.08</v>
      </c>
      <c r="G26" s="5">
        <f t="shared" si="1"/>
        <v>26.26</v>
      </c>
      <c r="H26" s="5">
        <f t="shared" si="1"/>
        <v>25.7</v>
      </c>
      <c r="I26" s="5">
        <f t="shared" si="1"/>
        <v>24.63</v>
      </c>
      <c r="J26" s="5">
        <f t="shared" si="1"/>
        <v>24.02</v>
      </c>
      <c r="K26" s="5">
        <f t="shared" si="1"/>
        <v>23.4</v>
      </c>
      <c r="L26" s="5">
        <f t="shared" si="1"/>
        <v>22.41</v>
      </c>
      <c r="M26" s="5">
        <f t="shared" si="1"/>
        <v>22.29</v>
      </c>
      <c r="N26" s="5">
        <f t="shared" si="1"/>
        <v>21.49</v>
      </c>
      <c r="O26" s="5">
        <f t="shared" si="1"/>
        <v>20.65</v>
      </c>
      <c r="P26" s="5">
        <f t="shared" si="1"/>
        <v>19.67</v>
      </c>
      <c r="Q26" s="5">
        <f t="shared" si="1"/>
        <v>16.77</v>
      </c>
      <c r="R26" s="5">
        <f t="shared" si="1"/>
        <v>12.87</v>
      </c>
      <c r="S26" s="5">
        <f t="shared" si="4"/>
        <v>11.63</v>
      </c>
      <c r="T26" s="5">
        <f t="shared" si="4"/>
        <v>8.92</v>
      </c>
      <c r="U26" s="5">
        <f t="shared" si="4"/>
        <v>6.2</v>
      </c>
      <c r="V26" s="5">
        <f t="shared" si="4"/>
        <v>5.8</v>
      </c>
      <c r="W26" s="5">
        <f t="shared" si="4"/>
        <v>4.61</v>
      </c>
      <c r="X26" s="5">
        <f t="shared" si="4"/>
        <v>4</v>
      </c>
      <c r="Y26" s="5">
        <f t="shared" si="4"/>
        <v>3.37</v>
      </c>
      <c r="Z26" s="5">
        <f t="shared" si="4"/>
        <v>3.27</v>
      </c>
      <c r="AA26" s="5">
        <f t="shared" si="4"/>
        <v>2.88</v>
      </c>
      <c r="AB26" s="5">
        <f t="shared" si="4"/>
        <v>2.3</v>
      </c>
      <c r="AC26" s="5">
        <f t="shared" si="4"/>
        <v>1.83</v>
      </c>
      <c r="AD26" s="5">
        <f t="shared" si="4"/>
        <v>1.76</v>
      </c>
      <c r="AE26" s="5">
        <f t="shared" si="4"/>
        <v>1.44</v>
      </c>
      <c r="AF26" s="5">
        <f t="shared" si="4"/>
        <v>1.35</v>
      </c>
      <c r="AG26" s="5">
        <f t="shared" si="4"/>
        <v>1.29</v>
      </c>
      <c r="AH26" s="5">
        <f t="shared" si="4"/>
        <v>1.04</v>
      </c>
      <c r="AI26" s="5">
        <f t="shared" si="3"/>
        <v>0.9</v>
      </c>
      <c r="AJ26" s="5">
        <f t="shared" si="3"/>
        <v>0.83</v>
      </c>
    </row>
    <row r="27" spans="1:36">
      <c r="A27" t="str">
        <f>"primary_archetype_"&amp;TEXT(ROUND(Table213[[#This Row],[2016]],1),"0.0")</f>
        <v>primary_archetype_27.8</v>
      </c>
      <c r="B27" s="5">
        <f t="shared" si="2"/>
        <v>27.8</v>
      </c>
      <c r="C27" s="5">
        <f t="shared" si="1"/>
        <v>27.8</v>
      </c>
      <c r="D27" s="5">
        <f t="shared" si="1"/>
        <v>27.8</v>
      </c>
      <c r="E27" s="5">
        <f t="shared" si="1"/>
        <v>27.27</v>
      </c>
      <c r="F27" s="5">
        <f t="shared" si="1"/>
        <v>25.99</v>
      </c>
      <c r="G27" s="5">
        <f t="shared" si="1"/>
        <v>26.17</v>
      </c>
      <c r="H27" s="5">
        <f t="shared" si="1"/>
        <v>25.61</v>
      </c>
      <c r="I27" s="5">
        <f t="shared" si="1"/>
        <v>24.54</v>
      </c>
      <c r="J27" s="5">
        <f t="shared" si="1"/>
        <v>23.93</v>
      </c>
      <c r="K27" s="5">
        <f t="shared" si="1"/>
        <v>23.31</v>
      </c>
      <c r="L27" s="5">
        <f t="shared" si="1"/>
        <v>22.33</v>
      </c>
      <c r="M27" s="5">
        <f t="shared" si="1"/>
        <v>22.22</v>
      </c>
      <c r="N27" s="5">
        <f t="shared" si="1"/>
        <v>21.41</v>
      </c>
      <c r="O27" s="5">
        <f t="shared" si="1"/>
        <v>20.58</v>
      </c>
      <c r="P27" s="5">
        <f t="shared" si="1"/>
        <v>19.6</v>
      </c>
      <c r="Q27" s="5">
        <f t="shared" si="1"/>
        <v>16.72</v>
      </c>
      <c r="R27" s="5">
        <f t="shared" si="1"/>
        <v>12.83</v>
      </c>
      <c r="S27" s="5">
        <f t="shared" si="4"/>
        <v>11.59</v>
      </c>
      <c r="T27" s="5">
        <f t="shared" si="4"/>
        <v>8.89</v>
      </c>
      <c r="U27" s="5">
        <f t="shared" si="4"/>
        <v>6.18</v>
      </c>
      <c r="V27" s="5">
        <f t="shared" si="4"/>
        <v>5.78</v>
      </c>
      <c r="W27" s="5">
        <f t="shared" si="4"/>
        <v>4.59</v>
      </c>
      <c r="X27" s="5">
        <f t="shared" si="4"/>
        <v>3.99</v>
      </c>
      <c r="Y27" s="5">
        <f t="shared" si="4"/>
        <v>3.36</v>
      </c>
      <c r="Z27" s="5">
        <f t="shared" si="4"/>
        <v>3.26</v>
      </c>
      <c r="AA27" s="5">
        <f t="shared" si="4"/>
        <v>2.87</v>
      </c>
      <c r="AB27" s="5">
        <f t="shared" si="4"/>
        <v>2.3</v>
      </c>
      <c r="AC27" s="5">
        <f t="shared" si="4"/>
        <v>1.83</v>
      </c>
      <c r="AD27" s="5">
        <f t="shared" si="4"/>
        <v>1.75</v>
      </c>
      <c r="AE27" s="5">
        <f t="shared" si="4"/>
        <v>1.44</v>
      </c>
      <c r="AF27" s="5">
        <f t="shared" si="4"/>
        <v>1.35</v>
      </c>
      <c r="AG27" s="5">
        <f t="shared" si="4"/>
        <v>1.28</v>
      </c>
      <c r="AH27" s="5">
        <f t="shared" si="4"/>
        <v>1.04</v>
      </c>
      <c r="AI27" s="5">
        <f t="shared" si="3"/>
        <v>0.9</v>
      </c>
      <c r="AJ27" s="5">
        <f t="shared" si="3"/>
        <v>0.83</v>
      </c>
    </row>
    <row r="28" spans="1:36">
      <c r="A28" t="str">
        <f>"primary_archetype_"&amp;TEXT(ROUND(Table213[[#This Row],[2016]],1),"0.0")</f>
        <v>primary_archetype_27.7</v>
      </c>
      <c r="B28" s="5">
        <f t="shared" si="2"/>
        <v>27.7</v>
      </c>
      <c r="C28" s="5">
        <f t="shared" si="1"/>
        <v>27.7</v>
      </c>
      <c r="D28" s="5">
        <f t="shared" si="1"/>
        <v>27.7</v>
      </c>
      <c r="E28" s="5">
        <f t="shared" si="1"/>
        <v>27.17</v>
      </c>
      <c r="F28" s="5">
        <f t="shared" si="1"/>
        <v>25.9</v>
      </c>
      <c r="G28" s="5">
        <f t="shared" si="1"/>
        <v>26.07</v>
      </c>
      <c r="H28" s="5">
        <f t="shared" si="1"/>
        <v>25.52</v>
      </c>
      <c r="I28" s="5">
        <f t="shared" si="1"/>
        <v>24.45</v>
      </c>
      <c r="J28" s="5">
        <f t="shared" si="1"/>
        <v>23.85</v>
      </c>
      <c r="K28" s="5">
        <f t="shared" ref="K28:Z43" si="5">MROUND((($B28-$AH$2)*((K$2-$AH$2)/($B$2-$AH$2)))+$AH$2,0.01)</f>
        <v>23.23</v>
      </c>
      <c r="L28" s="5">
        <f t="shared" si="5"/>
        <v>22.26</v>
      </c>
      <c r="M28" s="5">
        <f t="shared" si="5"/>
        <v>22.14</v>
      </c>
      <c r="N28" s="5">
        <f t="shared" si="5"/>
        <v>21.34</v>
      </c>
      <c r="O28" s="5">
        <f t="shared" si="5"/>
        <v>20.51</v>
      </c>
      <c r="P28" s="5">
        <f t="shared" si="5"/>
        <v>19.53</v>
      </c>
      <c r="Q28" s="5">
        <f t="shared" si="5"/>
        <v>16.66</v>
      </c>
      <c r="R28" s="5">
        <f t="shared" si="5"/>
        <v>12.78</v>
      </c>
      <c r="S28" s="5">
        <f t="shared" si="5"/>
        <v>11.55</v>
      </c>
      <c r="T28" s="5">
        <f t="shared" si="5"/>
        <v>8.86</v>
      </c>
      <c r="U28" s="5">
        <f t="shared" si="5"/>
        <v>6.16</v>
      </c>
      <c r="V28" s="5">
        <f t="shared" si="5"/>
        <v>5.76</v>
      </c>
      <c r="W28" s="5">
        <f t="shared" si="5"/>
        <v>4.58</v>
      </c>
      <c r="X28" s="5">
        <f t="shared" si="5"/>
        <v>3.98</v>
      </c>
      <c r="Y28" s="5">
        <f t="shared" si="5"/>
        <v>3.35</v>
      </c>
      <c r="Z28" s="5">
        <f t="shared" si="5"/>
        <v>3.25</v>
      </c>
      <c r="AA28" s="5">
        <f t="shared" si="4"/>
        <v>2.86</v>
      </c>
      <c r="AB28" s="5">
        <f t="shared" si="4"/>
        <v>2.29</v>
      </c>
      <c r="AC28" s="5">
        <f t="shared" si="4"/>
        <v>1.83</v>
      </c>
      <c r="AD28" s="5">
        <f t="shared" si="4"/>
        <v>1.75</v>
      </c>
      <c r="AE28" s="5">
        <f t="shared" si="4"/>
        <v>1.44</v>
      </c>
      <c r="AF28" s="5">
        <f t="shared" si="4"/>
        <v>1.35</v>
      </c>
      <c r="AG28" s="5">
        <f t="shared" si="4"/>
        <v>1.28</v>
      </c>
      <c r="AH28" s="5">
        <f t="shared" si="4"/>
        <v>1.04</v>
      </c>
      <c r="AI28" s="5">
        <f t="shared" si="3"/>
        <v>0.9</v>
      </c>
      <c r="AJ28" s="5">
        <f t="shared" si="3"/>
        <v>0.83</v>
      </c>
    </row>
    <row r="29" spans="1:36">
      <c r="A29" t="str">
        <f>"primary_archetype_"&amp;TEXT(ROUND(Table213[[#This Row],[2016]],1),"0.0")</f>
        <v>primary_archetype_27.6</v>
      </c>
      <c r="B29" s="5">
        <f t="shared" si="2"/>
        <v>27.6</v>
      </c>
      <c r="C29" s="5">
        <f t="shared" ref="C29:R44" si="6">MROUND((($B29-$AH$2)*((C$2-$AH$2)/($B$2-$AH$2)))+$AH$2,0.01)</f>
        <v>27.6</v>
      </c>
      <c r="D29" s="5">
        <f t="shared" si="6"/>
        <v>27.6</v>
      </c>
      <c r="E29" s="5">
        <f t="shared" si="6"/>
        <v>27.07</v>
      </c>
      <c r="F29" s="5">
        <f t="shared" si="6"/>
        <v>25.8</v>
      </c>
      <c r="G29" s="5">
        <f t="shared" si="6"/>
        <v>25.98</v>
      </c>
      <c r="H29" s="5">
        <f t="shared" si="6"/>
        <v>25.43</v>
      </c>
      <c r="I29" s="5">
        <f t="shared" si="6"/>
        <v>24.36</v>
      </c>
      <c r="J29" s="5">
        <f t="shared" si="6"/>
        <v>23.76</v>
      </c>
      <c r="K29" s="5">
        <f t="shared" si="6"/>
        <v>23.15</v>
      </c>
      <c r="L29" s="5">
        <f t="shared" si="6"/>
        <v>22.18</v>
      </c>
      <c r="M29" s="5">
        <f t="shared" si="6"/>
        <v>22.06</v>
      </c>
      <c r="N29" s="5">
        <f t="shared" si="6"/>
        <v>21.26</v>
      </c>
      <c r="O29" s="5">
        <f t="shared" si="6"/>
        <v>20.44</v>
      </c>
      <c r="P29" s="5">
        <f t="shared" si="6"/>
        <v>19.46</v>
      </c>
      <c r="Q29" s="5">
        <f t="shared" si="6"/>
        <v>16.6</v>
      </c>
      <c r="R29" s="5">
        <f t="shared" si="6"/>
        <v>12.74</v>
      </c>
      <c r="S29" s="5">
        <f t="shared" si="5"/>
        <v>11.51</v>
      </c>
      <c r="T29" s="5">
        <f t="shared" si="5"/>
        <v>8.83</v>
      </c>
      <c r="U29" s="5">
        <f t="shared" si="5"/>
        <v>6.14</v>
      </c>
      <c r="V29" s="5">
        <f t="shared" si="5"/>
        <v>5.75</v>
      </c>
      <c r="W29" s="5">
        <f t="shared" si="5"/>
        <v>4.57</v>
      </c>
      <c r="X29" s="5">
        <f t="shared" si="5"/>
        <v>3.97</v>
      </c>
      <c r="Y29" s="5">
        <f t="shared" si="5"/>
        <v>3.34</v>
      </c>
      <c r="Z29" s="5">
        <f t="shared" si="5"/>
        <v>3.25</v>
      </c>
      <c r="AA29" s="5">
        <f t="shared" si="4"/>
        <v>2.86</v>
      </c>
      <c r="AB29" s="5">
        <f t="shared" si="4"/>
        <v>2.29</v>
      </c>
      <c r="AC29" s="5">
        <f t="shared" si="4"/>
        <v>1.83</v>
      </c>
      <c r="AD29" s="5">
        <f t="shared" si="4"/>
        <v>1.75</v>
      </c>
      <c r="AE29" s="5">
        <f t="shared" si="4"/>
        <v>1.44</v>
      </c>
      <c r="AF29" s="5">
        <f t="shared" si="4"/>
        <v>1.35</v>
      </c>
      <c r="AG29" s="5">
        <f t="shared" si="4"/>
        <v>1.28</v>
      </c>
      <c r="AH29" s="5">
        <f t="shared" ref="AH29:AJ29" si="7">MROUND((($B29-$AH$2)*((AH$2-$AH$2)/($B$2-$AH$2)))+$AH$2,0.01)</f>
        <v>1.04</v>
      </c>
      <c r="AI29" s="5">
        <f t="shared" si="7"/>
        <v>0.9</v>
      </c>
      <c r="AJ29" s="5">
        <f t="shared" si="7"/>
        <v>0.83</v>
      </c>
    </row>
    <row r="30" spans="1:36">
      <c r="A30" t="str">
        <f>"primary_archetype_"&amp;TEXT(ROUND(Table213[[#This Row],[2016]],1),"0.0")</f>
        <v>primary_archetype_27.5</v>
      </c>
      <c r="B30" s="5">
        <f t="shared" si="2"/>
        <v>27.5</v>
      </c>
      <c r="C30" s="5">
        <f t="shared" si="6"/>
        <v>27.5</v>
      </c>
      <c r="D30" s="5">
        <f t="shared" si="6"/>
        <v>27.5</v>
      </c>
      <c r="E30" s="5">
        <f t="shared" si="6"/>
        <v>26.98</v>
      </c>
      <c r="F30" s="5">
        <f t="shared" si="6"/>
        <v>25.71</v>
      </c>
      <c r="G30" s="5">
        <f t="shared" si="6"/>
        <v>25.89</v>
      </c>
      <c r="H30" s="5">
        <f t="shared" si="6"/>
        <v>25.34</v>
      </c>
      <c r="I30" s="5">
        <f t="shared" si="6"/>
        <v>24.27</v>
      </c>
      <c r="J30" s="5">
        <f t="shared" si="6"/>
        <v>23.68</v>
      </c>
      <c r="K30" s="5">
        <f t="shared" si="6"/>
        <v>23.06</v>
      </c>
      <c r="L30" s="5">
        <f t="shared" si="6"/>
        <v>22.1</v>
      </c>
      <c r="M30" s="5">
        <f t="shared" si="6"/>
        <v>21.98</v>
      </c>
      <c r="N30" s="5">
        <f t="shared" si="6"/>
        <v>21.18</v>
      </c>
      <c r="O30" s="5">
        <f t="shared" si="6"/>
        <v>20.36</v>
      </c>
      <c r="P30" s="5">
        <f t="shared" si="6"/>
        <v>19.39</v>
      </c>
      <c r="Q30" s="5">
        <f t="shared" si="6"/>
        <v>16.54</v>
      </c>
      <c r="R30" s="5">
        <f t="shared" si="6"/>
        <v>12.7</v>
      </c>
      <c r="S30" s="5">
        <f t="shared" si="5"/>
        <v>11.47</v>
      </c>
      <c r="T30" s="5">
        <f t="shared" si="5"/>
        <v>8.8</v>
      </c>
      <c r="U30" s="5">
        <f t="shared" si="5"/>
        <v>6.12</v>
      </c>
      <c r="V30" s="5">
        <f t="shared" si="5"/>
        <v>5.73</v>
      </c>
      <c r="W30" s="5">
        <f t="shared" si="5"/>
        <v>4.55</v>
      </c>
      <c r="X30" s="5">
        <f t="shared" si="5"/>
        <v>3.96</v>
      </c>
      <c r="Y30" s="5">
        <f t="shared" si="5"/>
        <v>3.33</v>
      </c>
      <c r="Z30" s="5">
        <f t="shared" si="5"/>
        <v>3.24</v>
      </c>
      <c r="AA30" s="5">
        <f t="shared" ref="AA30:AJ82" si="8">MROUND((($B30-$AH$2)*((AA$2-$AH$2)/($B$2-$AH$2)))+$AH$2,0.01)</f>
        <v>2.85</v>
      </c>
      <c r="AB30" s="5">
        <f t="shared" si="8"/>
        <v>2.29</v>
      </c>
      <c r="AC30" s="5">
        <f t="shared" si="8"/>
        <v>1.82</v>
      </c>
      <c r="AD30" s="5">
        <f t="shared" si="8"/>
        <v>1.75</v>
      </c>
      <c r="AE30" s="5">
        <f t="shared" si="8"/>
        <v>1.43</v>
      </c>
      <c r="AF30" s="5">
        <f t="shared" si="8"/>
        <v>1.35</v>
      </c>
      <c r="AG30" s="5">
        <f t="shared" si="8"/>
        <v>1.28</v>
      </c>
      <c r="AH30" s="5">
        <f t="shared" si="8"/>
        <v>1.04</v>
      </c>
      <c r="AI30" s="5">
        <f t="shared" si="8"/>
        <v>0.9</v>
      </c>
      <c r="AJ30" s="5">
        <f t="shared" si="8"/>
        <v>0.83</v>
      </c>
    </row>
    <row r="31" spans="1:36">
      <c r="A31" t="str">
        <f>"primary_archetype_"&amp;TEXT(ROUND(Table213[[#This Row],[2016]],1),"0.0")</f>
        <v>primary_archetype_27.4</v>
      </c>
      <c r="B31" s="5">
        <f t="shared" si="2"/>
        <v>27.4</v>
      </c>
      <c r="C31" s="5">
        <f t="shared" si="6"/>
        <v>27.4</v>
      </c>
      <c r="D31" s="5">
        <f t="shared" si="6"/>
        <v>27.4</v>
      </c>
      <c r="E31" s="5">
        <f t="shared" si="6"/>
        <v>26.88</v>
      </c>
      <c r="F31" s="5">
        <f t="shared" si="6"/>
        <v>25.62</v>
      </c>
      <c r="G31" s="5">
        <f t="shared" si="6"/>
        <v>25.79</v>
      </c>
      <c r="H31" s="5">
        <f t="shared" si="6"/>
        <v>25.25</v>
      </c>
      <c r="I31" s="5">
        <f t="shared" si="6"/>
        <v>24.19</v>
      </c>
      <c r="J31" s="5">
        <f t="shared" si="6"/>
        <v>23.59</v>
      </c>
      <c r="K31" s="5">
        <f t="shared" si="6"/>
        <v>22.98</v>
      </c>
      <c r="L31" s="5">
        <f t="shared" si="6"/>
        <v>22.02</v>
      </c>
      <c r="M31" s="5">
        <f t="shared" si="6"/>
        <v>21.9</v>
      </c>
      <c r="N31" s="5">
        <f t="shared" si="6"/>
        <v>21.11</v>
      </c>
      <c r="O31" s="5">
        <f t="shared" si="6"/>
        <v>20.29</v>
      </c>
      <c r="P31" s="5">
        <f t="shared" si="6"/>
        <v>19.32</v>
      </c>
      <c r="Q31" s="5">
        <f t="shared" si="6"/>
        <v>16.48</v>
      </c>
      <c r="R31" s="5">
        <f t="shared" si="6"/>
        <v>12.65</v>
      </c>
      <c r="S31" s="5">
        <f t="shared" si="5"/>
        <v>11.43</v>
      </c>
      <c r="T31" s="5">
        <f t="shared" si="5"/>
        <v>8.77</v>
      </c>
      <c r="U31" s="5">
        <f t="shared" si="5"/>
        <v>6.1</v>
      </c>
      <c r="V31" s="5">
        <f t="shared" si="5"/>
        <v>5.71</v>
      </c>
      <c r="W31" s="5">
        <f t="shared" si="5"/>
        <v>4.54</v>
      </c>
      <c r="X31" s="5">
        <f t="shared" si="5"/>
        <v>3.94</v>
      </c>
      <c r="Y31" s="5">
        <f t="shared" si="5"/>
        <v>3.33</v>
      </c>
      <c r="Z31" s="5">
        <f t="shared" si="5"/>
        <v>3.23</v>
      </c>
      <c r="AA31" s="5">
        <f t="shared" si="8"/>
        <v>2.84</v>
      </c>
      <c r="AB31" s="5">
        <f t="shared" si="8"/>
        <v>2.28</v>
      </c>
      <c r="AC31" s="5">
        <f t="shared" si="8"/>
        <v>1.82</v>
      </c>
      <c r="AD31" s="5">
        <f t="shared" si="8"/>
        <v>1.74</v>
      </c>
      <c r="AE31" s="5">
        <f t="shared" si="8"/>
        <v>1.43</v>
      </c>
      <c r="AF31" s="5">
        <f t="shared" si="8"/>
        <v>1.35</v>
      </c>
      <c r="AG31" s="5">
        <f t="shared" si="8"/>
        <v>1.28</v>
      </c>
      <c r="AH31" s="5">
        <f t="shared" si="8"/>
        <v>1.04</v>
      </c>
      <c r="AI31" s="5">
        <f t="shared" si="8"/>
        <v>0.9</v>
      </c>
      <c r="AJ31" s="5">
        <f t="shared" si="8"/>
        <v>0.83</v>
      </c>
    </row>
    <row r="32" spans="1:36">
      <c r="A32" t="str">
        <f>"primary_archetype_"&amp;TEXT(ROUND(Table213[[#This Row],[2016]],1),"0.0")</f>
        <v>primary_archetype_27.3</v>
      </c>
      <c r="B32" s="5">
        <f t="shared" si="2"/>
        <v>27.3</v>
      </c>
      <c r="C32" s="5">
        <f t="shared" si="6"/>
        <v>27.3</v>
      </c>
      <c r="D32" s="5">
        <f t="shared" si="6"/>
        <v>27.3</v>
      </c>
      <c r="E32" s="5">
        <f t="shared" si="6"/>
        <v>26.78</v>
      </c>
      <c r="F32" s="5">
        <f t="shared" si="6"/>
        <v>25.52</v>
      </c>
      <c r="G32" s="5">
        <f t="shared" si="6"/>
        <v>25.7</v>
      </c>
      <c r="H32" s="5">
        <f t="shared" si="6"/>
        <v>25.15</v>
      </c>
      <c r="I32" s="5">
        <f t="shared" si="6"/>
        <v>24.1</v>
      </c>
      <c r="J32" s="5">
        <f t="shared" si="6"/>
        <v>23.51</v>
      </c>
      <c r="K32" s="5">
        <f t="shared" si="6"/>
        <v>22.9</v>
      </c>
      <c r="L32" s="5">
        <f t="shared" si="6"/>
        <v>21.94</v>
      </c>
      <c r="M32" s="5">
        <f t="shared" si="6"/>
        <v>21.82</v>
      </c>
      <c r="N32" s="5">
        <f t="shared" si="6"/>
        <v>21.03</v>
      </c>
      <c r="O32" s="5">
        <f t="shared" si="6"/>
        <v>20.22</v>
      </c>
      <c r="P32" s="5">
        <f t="shared" si="6"/>
        <v>19.25</v>
      </c>
      <c r="Q32" s="5">
        <f t="shared" si="6"/>
        <v>16.42</v>
      </c>
      <c r="R32" s="5">
        <f t="shared" si="6"/>
        <v>12.61</v>
      </c>
      <c r="S32" s="5">
        <f t="shared" si="5"/>
        <v>11.39</v>
      </c>
      <c r="T32" s="5">
        <f t="shared" si="5"/>
        <v>8.75</v>
      </c>
      <c r="U32" s="5">
        <f t="shared" si="5"/>
        <v>6.08</v>
      </c>
      <c r="V32" s="5">
        <f t="shared" si="5"/>
        <v>5.69</v>
      </c>
      <c r="W32" s="5">
        <f t="shared" si="5"/>
        <v>4.53</v>
      </c>
      <c r="X32" s="5">
        <f t="shared" si="5"/>
        <v>3.93</v>
      </c>
      <c r="Y32" s="5">
        <f t="shared" si="5"/>
        <v>3.32</v>
      </c>
      <c r="Z32" s="5">
        <f t="shared" si="5"/>
        <v>3.22</v>
      </c>
      <c r="AA32" s="5">
        <f t="shared" si="8"/>
        <v>2.84</v>
      </c>
      <c r="AB32" s="5">
        <f t="shared" si="8"/>
        <v>2.28</v>
      </c>
      <c r="AC32" s="5">
        <f t="shared" si="8"/>
        <v>1.82</v>
      </c>
      <c r="AD32" s="5">
        <f t="shared" si="8"/>
        <v>1.74</v>
      </c>
      <c r="AE32" s="5">
        <f t="shared" si="8"/>
        <v>1.43</v>
      </c>
      <c r="AF32" s="5">
        <f t="shared" si="8"/>
        <v>1.34</v>
      </c>
      <c r="AG32" s="5">
        <f t="shared" si="8"/>
        <v>1.28</v>
      </c>
      <c r="AH32" s="5">
        <f t="shared" si="8"/>
        <v>1.04</v>
      </c>
      <c r="AI32" s="5">
        <f t="shared" si="8"/>
        <v>0.9</v>
      </c>
      <c r="AJ32" s="5">
        <f t="shared" si="8"/>
        <v>0.83</v>
      </c>
    </row>
    <row r="33" spans="1:36">
      <c r="A33" t="str">
        <f>"primary_archetype_"&amp;TEXT(ROUND(Table213[[#This Row],[2016]],1),"0.0")</f>
        <v>primary_archetype_27.2</v>
      </c>
      <c r="B33" s="5">
        <f t="shared" si="2"/>
        <v>27.2</v>
      </c>
      <c r="C33" s="5">
        <f t="shared" si="6"/>
        <v>27.2</v>
      </c>
      <c r="D33" s="5">
        <f t="shared" si="6"/>
        <v>27.2</v>
      </c>
      <c r="E33" s="5">
        <f t="shared" si="6"/>
        <v>26.68</v>
      </c>
      <c r="F33" s="5">
        <f t="shared" si="6"/>
        <v>25.43</v>
      </c>
      <c r="G33" s="5">
        <f t="shared" si="6"/>
        <v>25.61</v>
      </c>
      <c r="H33" s="5">
        <f t="shared" si="6"/>
        <v>25.06</v>
      </c>
      <c r="I33" s="5">
        <f t="shared" si="6"/>
        <v>24.01</v>
      </c>
      <c r="J33" s="5">
        <f t="shared" si="6"/>
        <v>23.42</v>
      </c>
      <c r="K33" s="5">
        <f t="shared" si="6"/>
        <v>22.81</v>
      </c>
      <c r="L33" s="5">
        <f t="shared" si="6"/>
        <v>21.86</v>
      </c>
      <c r="M33" s="5">
        <f t="shared" si="6"/>
        <v>21.74</v>
      </c>
      <c r="N33" s="5">
        <f t="shared" si="6"/>
        <v>20.96</v>
      </c>
      <c r="O33" s="5">
        <f t="shared" si="6"/>
        <v>20.14</v>
      </c>
      <c r="P33" s="5">
        <f t="shared" si="6"/>
        <v>19.18</v>
      </c>
      <c r="Q33" s="5">
        <f t="shared" si="6"/>
        <v>16.36</v>
      </c>
      <c r="R33" s="5">
        <f t="shared" si="6"/>
        <v>12.56</v>
      </c>
      <c r="S33" s="5">
        <f t="shared" si="5"/>
        <v>11.35</v>
      </c>
      <c r="T33" s="5">
        <f t="shared" si="5"/>
        <v>8.72</v>
      </c>
      <c r="U33" s="5">
        <f t="shared" si="5"/>
        <v>6.06</v>
      </c>
      <c r="V33" s="5">
        <f t="shared" si="5"/>
        <v>5.68</v>
      </c>
      <c r="W33" s="5">
        <f t="shared" si="5"/>
        <v>4.51</v>
      </c>
      <c r="X33" s="5">
        <f t="shared" si="5"/>
        <v>3.92</v>
      </c>
      <c r="Y33" s="5">
        <f t="shared" si="5"/>
        <v>3.31</v>
      </c>
      <c r="Z33" s="5">
        <f t="shared" si="5"/>
        <v>3.21</v>
      </c>
      <c r="AA33" s="5">
        <f t="shared" si="8"/>
        <v>2.83</v>
      </c>
      <c r="AB33" s="5">
        <f t="shared" si="8"/>
        <v>2.27</v>
      </c>
      <c r="AC33" s="5">
        <f t="shared" si="8"/>
        <v>1.81</v>
      </c>
      <c r="AD33" s="5">
        <f t="shared" si="8"/>
        <v>1.74</v>
      </c>
      <c r="AE33" s="5">
        <f t="shared" si="8"/>
        <v>1.43</v>
      </c>
      <c r="AF33" s="5">
        <f t="shared" si="8"/>
        <v>1.34</v>
      </c>
      <c r="AG33" s="5">
        <f t="shared" si="8"/>
        <v>1.28</v>
      </c>
      <c r="AH33" s="5">
        <f t="shared" si="8"/>
        <v>1.04</v>
      </c>
      <c r="AI33" s="5">
        <f t="shared" si="8"/>
        <v>0.9</v>
      </c>
      <c r="AJ33" s="5">
        <f t="shared" si="8"/>
        <v>0.84</v>
      </c>
    </row>
    <row r="34" spans="1:36">
      <c r="A34" t="str">
        <f>"primary_archetype_"&amp;TEXT(ROUND(Table213[[#This Row],[2016]],1),"0.0")</f>
        <v>primary_archetype_27.1</v>
      </c>
      <c r="B34" s="5">
        <f t="shared" si="2"/>
        <v>27.1</v>
      </c>
      <c r="C34" s="5">
        <f t="shared" si="6"/>
        <v>27.1</v>
      </c>
      <c r="D34" s="5">
        <f t="shared" si="6"/>
        <v>27.1</v>
      </c>
      <c r="E34" s="5">
        <f t="shared" si="6"/>
        <v>26.58</v>
      </c>
      <c r="F34" s="5">
        <f t="shared" si="6"/>
        <v>25.34</v>
      </c>
      <c r="G34" s="5">
        <f t="shared" si="6"/>
        <v>25.51</v>
      </c>
      <c r="H34" s="5">
        <f t="shared" si="6"/>
        <v>24.97</v>
      </c>
      <c r="I34" s="5">
        <f t="shared" si="6"/>
        <v>23.92</v>
      </c>
      <c r="J34" s="5">
        <f t="shared" si="6"/>
        <v>23.34</v>
      </c>
      <c r="K34" s="5">
        <f t="shared" si="6"/>
        <v>22.73</v>
      </c>
      <c r="L34" s="5">
        <f t="shared" si="6"/>
        <v>21.78</v>
      </c>
      <c r="M34" s="5">
        <f t="shared" si="6"/>
        <v>21.66</v>
      </c>
      <c r="N34" s="5">
        <f t="shared" si="6"/>
        <v>20.88</v>
      </c>
      <c r="O34" s="5">
        <f t="shared" si="6"/>
        <v>20.07</v>
      </c>
      <c r="P34" s="5">
        <f t="shared" si="6"/>
        <v>19.11</v>
      </c>
      <c r="Q34" s="5">
        <f t="shared" si="6"/>
        <v>16.31</v>
      </c>
      <c r="R34" s="5">
        <f t="shared" si="6"/>
        <v>12.52</v>
      </c>
      <c r="S34" s="5">
        <f t="shared" si="5"/>
        <v>11.31</v>
      </c>
      <c r="T34" s="5">
        <f t="shared" si="5"/>
        <v>8.69</v>
      </c>
      <c r="U34" s="5">
        <f t="shared" si="5"/>
        <v>6.04</v>
      </c>
      <c r="V34" s="5">
        <f t="shared" si="5"/>
        <v>5.66</v>
      </c>
      <c r="W34" s="5">
        <f t="shared" si="5"/>
        <v>4.5</v>
      </c>
      <c r="X34" s="5">
        <f t="shared" si="5"/>
        <v>3.91</v>
      </c>
      <c r="Y34" s="5">
        <f t="shared" si="5"/>
        <v>3.3</v>
      </c>
      <c r="Z34" s="5">
        <f t="shared" si="5"/>
        <v>3.2</v>
      </c>
      <c r="AA34" s="5">
        <f t="shared" si="8"/>
        <v>2.82</v>
      </c>
      <c r="AB34" s="5">
        <f t="shared" si="8"/>
        <v>2.27</v>
      </c>
      <c r="AC34" s="5">
        <f t="shared" si="8"/>
        <v>1.81</v>
      </c>
      <c r="AD34" s="5">
        <f t="shared" si="8"/>
        <v>1.74</v>
      </c>
      <c r="AE34" s="5">
        <f t="shared" si="8"/>
        <v>1.43</v>
      </c>
      <c r="AF34" s="5">
        <f t="shared" si="8"/>
        <v>1.34</v>
      </c>
      <c r="AG34" s="5">
        <f t="shared" si="8"/>
        <v>1.28</v>
      </c>
      <c r="AH34" s="5">
        <f t="shared" si="8"/>
        <v>1.04</v>
      </c>
      <c r="AI34" s="5">
        <f t="shared" si="8"/>
        <v>0.9</v>
      </c>
      <c r="AJ34" s="5">
        <f t="shared" si="8"/>
        <v>0.84</v>
      </c>
    </row>
    <row r="35" spans="1:36">
      <c r="A35" t="str">
        <f>"primary_archetype_"&amp;TEXT(ROUND(Table213[[#This Row],[2016]],1),"0.0")</f>
        <v>primary_archetype_27.0</v>
      </c>
      <c r="B35" s="5">
        <f t="shared" si="2"/>
        <v>27</v>
      </c>
      <c r="C35" s="5">
        <f t="shared" si="6"/>
        <v>27</v>
      </c>
      <c r="D35" s="5">
        <f t="shared" si="6"/>
        <v>27</v>
      </c>
      <c r="E35" s="5">
        <f t="shared" si="6"/>
        <v>26.49</v>
      </c>
      <c r="F35" s="5">
        <f t="shared" si="6"/>
        <v>25.24</v>
      </c>
      <c r="G35" s="5">
        <f t="shared" si="6"/>
        <v>25.42</v>
      </c>
      <c r="H35" s="5">
        <f t="shared" si="6"/>
        <v>24.88</v>
      </c>
      <c r="I35" s="5">
        <f t="shared" si="6"/>
        <v>23.84</v>
      </c>
      <c r="J35" s="5">
        <f t="shared" si="6"/>
        <v>23.25</v>
      </c>
      <c r="K35" s="5">
        <f t="shared" si="6"/>
        <v>22.65</v>
      </c>
      <c r="L35" s="5">
        <f t="shared" si="6"/>
        <v>21.7</v>
      </c>
      <c r="M35" s="5">
        <f t="shared" si="6"/>
        <v>21.58</v>
      </c>
      <c r="N35" s="5">
        <f t="shared" si="6"/>
        <v>20.8</v>
      </c>
      <c r="O35" s="5">
        <f t="shared" si="6"/>
        <v>20</v>
      </c>
      <c r="P35" s="5">
        <f t="shared" si="6"/>
        <v>19.04</v>
      </c>
      <c r="Q35" s="5">
        <f t="shared" si="6"/>
        <v>16.25</v>
      </c>
      <c r="R35" s="5">
        <f t="shared" si="6"/>
        <v>12.47</v>
      </c>
      <c r="S35" s="5">
        <f t="shared" si="5"/>
        <v>11.27</v>
      </c>
      <c r="T35" s="5">
        <f t="shared" si="5"/>
        <v>8.66</v>
      </c>
      <c r="U35" s="5">
        <f t="shared" si="5"/>
        <v>6.02</v>
      </c>
      <c r="V35" s="5">
        <f t="shared" si="5"/>
        <v>5.64</v>
      </c>
      <c r="W35" s="5">
        <f t="shared" si="5"/>
        <v>4.49</v>
      </c>
      <c r="X35" s="5">
        <f t="shared" si="5"/>
        <v>3.9</v>
      </c>
      <c r="Y35" s="5">
        <f t="shared" si="5"/>
        <v>3.29</v>
      </c>
      <c r="Z35" s="5">
        <f t="shared" si="5"/>
        <v>3.2</v>
      </c>
      <c r="AA35" s="5">
        <f t="shared" si="8"/>
        <v>2.82</v>
      </c>
      <c r="AB35" s="5">
        <f t="shared" si="8"/>
        <v>2.26</v>
      </c>
      <c r="AC35" s="5">
        <f t="shared" si="8"/>
        <v>1.81</v>
      </c>
      <c r="AD35" s="5">
        <f t="shared" si="8"/>
        <v>1.73</v>
      </c>
      <c r="AE35" s="5">
        <f t="shared" si="8"/>
        <v>1.43</v>
      </c>
      <c r="AF35" s="5">
        <f t="shared" si="8"/>
        <v>1.34</v>
      </c>
      <c r="AG35" s="5">
        <f t="shared" si="8"/>
        <v>1.28</v>
      </c>
      <c r="AH35" s="5">
        <f t="shared" si="8"/>
        <v>1.04</v>
      </c>
      <c r="AI35" s="5">
        <f t="shared" si="8"/>
        <v>0.9</v>
      </c>
      <c r="AJ35" s="5">
        <f t="shared" si="8"/>
        <v>0.84</v>
      </c>
    </row>
    <row r="36" spans="1:36">
      <c r="A36" t="str">
        <f>"primary_archetype_"&amp;TEXT(ROUND(Table213[[#This Row],[2016]],1),"0.0")</f>
        <v>primary_archetype_26.9</v>
      </c>
      <c r="B36" s="5">
        <f t="shared" si="2"/>
        <v>26.9</v>
      </c>
      <c r="C36" s="5">
        <f t="shared" si="6"/>
        <v>26.9</v>
      </c>
      <c r="D36" s="5">
        <f t="shared" si="6"/>
        <v>26.9</v>
      </c>
      <c r="E36" s="5">
        <f t="shared" si="6"/>
        <v>26.39</v>
      </c>
      <c r="F36" s="5">
        <f t="shared" si="6"/>
        <v>25.15</v>
      </c>
      <c r="G36" s="5">
        <f t="shared" si="6"/>
        <v>25.32</v>
      </c>
      <c r="H36" s="5">
        <f t="shared" si="6"/>
        <v>24.79</v>
      </c>
      <c r="I36" s="5">
        <f t="shared" si="6"/>
        <v>23.75</v>
      </c>
      <c r="J36" s="5">
        <f t="shared" si="6"/>
        <v>23.16</v>
      </c>
      <c r="K36" s="5">
        <f t="shared" si="6"/>
        <v>22.56</v>
      </c>
      <c r="L36" s="5">
        <f t="shared" si="6"/>
        <v>21.62</v>
      </c>
      <c r="M36" s="5">
        <f t="shared" si="6"/>
        <v>21.5</v>
      </c>
      <c r="N36" s="5">
        <f t="shared" si="6"/>
        <v>20.73</v>
      </c>
      <c r="O36" s="5">
        <f t="shared" si="6"/>
        <v>19.92</v>
      </c>
      <c r="P36" s="5">
        <f t="shared" si="6"/>
        <v>18.97</v>
      </c>
      <c r="Q36" s="5">
        <f t="shared" si="6"/>
        <v>16.19</v>
      </c>
      <c r="R36" s="5">
        <f t="shared" si="6"/>
        <v>12.43</v>
      </c>
      <c r="S36" s="5">
        <f t="shared" si="5"/>
        <v>11.23</v>
      </c>
      <c r="T36" s="5">
        <f t="shared" si="5"/>
        <v>8.63</v>
      </c>
      <c r="U36" s="5">
        <f t="shared" si="5"/>
        <v>6</v>
      </c>
      <c r="V36" s="5">
        <f t="shared" si="5"/>
        <v>5.62</v>
      </c>
      <c r="W36" s="5">
        <f t="shared" si="5"/>
        <v>4.47</v>
      </c>
      <c r="X36" s="5">
        <f t="shared" si="5"/>
        <v>3.89</v>
      </c>
      <c r="Y36" s="5">
        <f t="shared" si="5"/>
        <v>3.28</v>
      </c>
      <c r="Z36" s="5">
        <f t="shared" si="5"/>
        <v>3.19</v>
      </c>
      <c r="AA36" s="5">
        <f t="shared" si="8"/>
        <v>2.81</v>
      </c>
      <c r="AB36" s="5">
        <f t="shared" si="8"/>
        <v>2.26</v>
      </c>
      <c r="AC36" s="5">
        <f t="shared" si="8"/>
        <v>1.8</v>
      </c>
      <c r="AD36" s="5">
        <f t="shared" si="8"/>
        <v>1.73</v>
      </c>
      <c r="AE36" s="5">
        <f t="shared" si="8"/>
        <v>1.42</v>
      </c>
      <c r="AF36" s="5">
        <f t="shared" si="8"/>
        <v>1.34</v>
      </c>
      <c r="AG36" s="5">
        <f t="shared" si="8"/>
        <v>1.28</v>
      </c>
      <c r="AH36" s="5">
        <f t="shared" si="8"/>
        <v>1.04</v>
      </c>
      <c r="AI36" s="5">
        <f t="shared" si="8"/>
        <v>0.9</v>
      </c>
      <c r="AJ36" s="5">
        <f t="shared" si="8"/>
        <v>0.84</v>
      </c>
    </row>
    <row r="37" spans="1:36">
      <c r="A37" t="str">
        <f>"primary_archetype_"&amp;TEXT(ROUND(Table213[[#This Row],[2016]],1),"0.0")</f>
        <v>primary_archetype_26.8</v>
      </c>
      <c r="B37" s="5">
        <f t="shared" si="2"/>
        <v>26.8</v>
      </c>
      <c r="C37" s="5">
        <f t="shared" si="6"/>
        <v>26.8</v>
      </c>
      <c r="D37" s="5">
        <f t="shared" si="6"/>
        <v>26.8</v>
      </c>
      <c r="E37" s="5">
        <f t="shared" si="6"/>
        <v>26.29</v>
      </c>
      <c r="F37" s="5">
        <f t="shared" si="6"/>
        <v>25.06</v>
      </c>
      <c r="G37" s="5">
        <f t="shared" si="6"/>
        <v>25.23</v>
      </c>
      <c r="H37" s="5">
        <f t="shared" si="6"/>
        <v>24.69</v>
      </c>
      <c r="I37" s="5">
        <f t="shared" si="6"/>
        <v>23.66</v>
      </c>
      <c r="J37" s="5">
        <f t="shared" si="6"/>
        <v>23.08</v>
      </c>
      <c r="K37" s="5">
        <f t="shared" si="6"/>
        <v>22.48</v>
      </c>
      <c r="L37" s="5">
        <f t="shared" si="6"/>
        <v>21.54</v>
      </c>
      <c r="M37" s="5">
        <f t="shared" si="6"/>
        <v>21.42</v>
      </c>
      <c r="N37" s="5">
        <f t="shared" si="6"/>
        <v>20.65</v>
      </c>
      <c r="O37" s="5">
        <f t="shared" si="6"/>
        <v>19.85</v>
      </c>
      <c r="P37" s="5">
        <f t="shared" si="6"/>
        <v>18.9</v>
      </c>
      <c r="Q37" s="5">
        <f t="shared" si="6"/>
        <v>16.13</v>
      </c>
      <c r="R37" s="5">
        <f t="shared" si="6"/>
        <v>12.39</v>
      </c>
      <c r="S37" s="5">
        <f t="shared" si="5"/>
        <v>11.19</v>
      </c>
      <c r="T37" s="5">
        <f t="shared" si="5"/>
        <v>8.6</v>
      </c>
      <c r="U37" s="5">
        <f t="shared" si="5"/>
        <v>5.98</v>
      </c>
      <c r="V37" s="5">
        <f t="shared" si="5"/>
        <v>5.6</v>
      </c>
      <c r="W37" s="5">
        <f t="shared" si="5"/>
        <v>4.46</v>
      </c>
      <c r="X37" s="5">
        <f t="shared" si="5"/>
        <v>3.88</v>
      </c>
      <c r="Y37" s="5">
        <f t="shared" si="5"/>
        <v>3.27</v>
      </c>
      <c r="Z37" s="5">
        <f t="shared" si="5"/>
        <v>3.18</v>
      </c>
      <c r="AA37" s="5">
        <f t="shared" si="8"/>
        <v>2.8</v>
      </c>
      <c r="AB37" s="5">
        <f t="shared" si="8"/>
        <v>2.25</v>
      </c>
      <c r="AC37" s="5">
        <f t="shared" si="8"/>
        <v>1.8</v>
      </c>
      <c r="AD37" s="5">
        <f t="shared" si="8"/>
        <v>1.73</v>
      </c>
      <c r="AE37" s="5">
        <f t="shared" si="8"/>
        <v>1.42</v>
      </c>
      <c r="AF37" s="5">
        <f t="shared" si="8"/>
        <v>1.34</v>
      </c>
      <c r="AG37" s="5">
        <f t="shared" si="8"/>
        <v>1.27</v>
      </c>
      <c r="AH37" s="5">
        <f t="shared" si="8"/>
        <v>1.04</v>
      </c>
      <c r="AI37" s="5">
        <f t="shared" si="8"/>
        <v>0.9</v>
      </c>
      <c r="AJ37" s="5">
        <f t="shared" si="8"/>
        <v>0.84</v>
      </c>
    </row>
    <row r="38" spans="1:36">
      <c r="A38" t="str">
        <f>"primary_archetype_"&amp;TEXT(ROUND(Table213[[#This Row],[2016]],1),"0.0")</f>
        <v>primary_archetype_26.7</v>
      </c>
      <c r="B38" s="5">
        <f t="shared" si="2"/>
        <v>26.7</v>
      </c>
      <c r="C38" s="5">
        <f t="shared" si="6"/>
        <v>26.7</v>
      </c>
      <c r="D38" s="5">
        <f t="shared" si="6"/>
        <v>26.7</v>
      </c>
      <c r="E38" s="5">
        <f t="shared" si="6"/>
        <v>26.19</v>
      </c>
      <c r="F38" s="5">
        <f t="shared" si="6"/>
        <v>24.96</v>
      </c>
      <c r="G38" s="5">
        <f t="shared" si="6"/>
        <v>25.14</v>
      </c>
      <c r="H38" s="5">
        <f t="shared" si="6"/>
        <v>24.6</v>
      </c>
      <c r="I38" s="5">
        <f t="shared" si="6"/>
        <v>23.57</v>
      </c>
      <c r="J38" s="5">
        <f t="shared" si="6"/>
        <v>22.99</v>
      </c>
      <c r="K38" s="5">
        <f t="shared" si="6"/>
        <v>22.4</v>
      </c>
      <c r="L38" s="5">
        <f t="shared" si="6"/>
        <v>21.46</v>
      </c>
      <c r="M38" s="5">
        <f t="shared" si="6"/>
        <v>21.35</v>
      </c>
      <c r="N38" s="5">
        <f t="shared" si="6"/>
        <v>20.58</v>
      </c>
      <c r="O38" s="5">
        <f t="shared" si="6"/>
        <v>19.78</v>
      </c>
      <c r="P38" s="5">
        <f t="shared" si="6"/>
        <v>18.83</v>
      </c>
      <c r="Q38" s="5">
        <f t="shared" si="6"/>
        <v>16.07</v>
      </c>
      <c r="R38" s="5">
        <f t="shared" si="6"/>
        <v>12.34</v>
      </c>
      <c r="S38" s="5">
        <f t="shared" si="5"/>
        <v>11.15</v>
      </c>
      <c r="T38" s="5">
        <f t="shared" si="5"/>
        <v>8.57</v>
      </c>
      <c r="U38" s="5">
        <f t="shared" si="5"/>
        <v>5.96</v>
      </c>
      <c r="V38" s="5">
        <f t="shared" si="5"/>
        <v>5.59</v>
      </c>
      <c r="W38" s="5">
        <f t="shared" si="5"/>
        <v>4.45</v>
      </c>
      <c r="X38" s="5">
        <f t="shared" si="5"/>
        <v>3.87</v>
      </c>
      <c r="Y38" s="5">
        <f t="shared" si="5"/>
        <v>3.27</v>
      </c>
      <c r="Z38" s="5">
        <f t="shared" si="5"/>
        <v>3.17</v>
      </c>
      <c r="AA38" s="5">
        <f t="shared" si="8"/>
        <v>2.8</v>
      </c>
      <c r="AB38" s="5">
        <f t="shared" si="8"/>
        <v>2.25</v>
      </c>
      <c r="AC38" s="5">
        <f t="shared" si="8"/>
        <v>1.8</v>
      </c>
      <c r="AD38" s="5">
        <f t="shared" si="8"/>
        <v>1.72</v>
      </c>
      <c r="AE38" s="5">
        <f t="shared" si="8"/>
        <v>1.42</v>
      </c>
      <c r="AF38" s="5">
        <f t="shared" si="8"/>
        <v>1.34</v>
      </c>
      <c r="AG38" s="5">
        <f t="shared" si="8"/>
        <v>1.27</v>
      </c>
      <c r="AH38" s="5">
        <f t="shared" si="8"/>
        <v>1.04</v>
      </c>
      <c r="AI38" s="5">
        <f t="shared" si="8"/>
        <v>0.9</v>
      </c>
      <c r="AJ38" s="5">
        <f t="shared" si="8"/>
        <v>0.84</v>
      </c>
    </row>
    <row r="39" spans="1:36">
      <c r="A39" t="str">
        <f>"primary_archetype_"&amp;TEXT(ROUND(Table213[[#This Row],[2016]],1),"0.0")</f>
        <v>primary_archetype_26.6</v>
      </c>
      <c r="B39" s="5">
        <f t="shared" si="2"/>
        <v>26.6</v>
      </c>
      <c r="C39" s="5">
        <f t="shared" si="6"/>
        <v>26.6</v>
      </c>
      <c r="D39" s="5">
        <f t="shared" si="6"/>
        <v>26.6</v>
      </c>
      <c r="E39" s="5">
        <f t="shared" si="6"/>
        <v>26.09</v>
      </c>
      <c r="F39" s="5">
        <f t="shared" si="6"/>
        <v>24.87</v>
      </c>
      <c r="G39" s="5">
        <f t="shared" si="6"/>
        <v>25.04</v>
      </c>
      <c r="H39" s="5">
        <f t="shared" si="6"/>
        <v>24.51</v>
      </c>
      <c r="I39" s="5">
        <f t="shared" si="6"/>
        <v>23.48</v>
      </c>
      <c r="J39" s="5">
        <f t="shared" si="6"/>
        <v>22.91</v>
      </c>
      <c r="K39" s="5">
        <f t="shared" si="6"/>
        <v>22.32</v>
      </c>
      <c r="L39" s="5">
        <f t="shared" si="6"/>
        <v>21.38</v>
      </c>
      <c r="M39" s="5">
        <f t="shared" si="6"/>
        <v>21.27</v>
      </c>
      <c r="N39" s="5">
        <f t="shared" si="6"/>
        <v>20.5</v>
      </c>
      <c r="O39" s="5">
        <f t="shared" si="6"/>
        <v>19.7</v>
      </c>
      <c r="P39" s="5">
        <f t="shared" si="6"/>
        <v>18.77</v>
      </c>
      <c r="Q39" s="5">
        <f t="shared" si="6"/>
        <v>16.01</v>
      </c>
      <c r="R39" s="5">
        <f t="shared" si="6"/>
        <v>12.3</v>
      </c>
      <c r="S39" s="5">
        <f t="shared" si="5"/>
        <v>11.11</v>
      </c>
      <c r="T39" s="5">
        <f t="shared" si="5"/>
        <v>8.54</v>
      </c>
      <c r="U39" s="5">
        <f t="shared" si="5"/>
        <v>5.95</v>
      </c>
      <c r="V39" s="5">
        <f t="shared" si="5"/>
        <v>5.57</v>
      </c>
      <c r="W39" s="5">
        <f t="shared" si="5"/>
        <v>4.43</v>
      </c>
      <c r="X39" s="5">
        <f t="shared" si="5"/>
        <v>3.86</v>
      </c>
      <c r="Y39" s="5">
        <f t="shared" si="5"/>
        <v>3.26</v>
      </c>
      <c r="Z39" s="5">
        <f t="shared" si="5"/>
        <v>3.16</v>
      </c>
      <c r="AA39" s="5">
        <f t="shared" si="8"/>
        <v>2.79</v>
      </c>
      <c r="AB39" s="5">
        <f t="shared" si="8"/>
        <v>2.24</v>
      </c>
      <c r="AC39" s="5">
        <f t="shared" si="8"/>
        <v>1.8</v>
      </c>
      <c r="AD39" s="5">
        <f t="shared" si="8"/>
        <v>1.72</v>
      </c>
      <c r="AE39" s="5">
        <f t="shared" si="8"/>
        <v>1.42</v>
      </c>
      <c r="AF39" s="5">
        <f t="shared" si="8"/>
        <v>1.34</v>
      </c>
      <c r="AG39" s="5">
        <f t="shared" si="8"/>
        <v>1.27</v>
      </c>
      <c r="AH39" s="5">
        <f t="shared" si="8"/>
        <v>1.04</v>
      </c>
      <c r="AI39" s="5">
        <f t="shared" si="8"/>
        <v>0.9</v>
      </c>
      <c r="AJ39" s="5">
        <f t="shared" si="8"/>
        <v>0.84</v>
      </c>
    </row>
    <row r="40" spans="1:36">
      <c r="A40" t="str">
        <f>"primary_archetype_"&amp;TEXT(ROUND(Table213[[#This Row],[2016]],1),"0.0")</f>
        <v>primary_archetype_26.5</v>
      </c>
      <c r="B40" s="5">
        <f t="shared" si="2"/>
        <v>26.5</v>
      </c>
      <c r="C40" s="5">
        <f t="shared" si="6"/>
        <v>26.5</v>
      </c>
      <c r="D40" s="5">
        <f t="shared" si="6"/>
        <v>26.5</v>
      </c>
      <c r="E40" s="5">
        <f t="shared" si="6"/>
        <v>26</v>
      </c>
      <c r="F40" s="5">
        <f t="shared" si="6"/>
        <v>24.78</v>
      </c>
      <c r="G40" s="5">
        <f t="shared" si="6"/>
        <v>24.95</v>
      </c>
      <c r="H40" s="5">
        <f t="shared" si="6"/>
        <v>24.42</v>
      </c>
      <c r="I40" s="5">
        <f t="shared" si="6"/>
        <v>23.4</v>
      </c>
      <c r="J40" s="5">
        <f t="shared" si="6"/>
        <v>22.82</v>
      </c>
      <c r="K40" s="5">
        <f t="shared" si="6"/>
        <v>22.23</v>
      </c>
      <c r="L40" s="5">
        <f t="shared" si="6"/>
        <v>21.3</v>
      </c>
      <c r="M40" s="5">
        <f t="shared" si="6"/>
        <v>21.19</v>
      </c>
      <c r="N40" s="5">
        <f t="shared" si="6"/>
        <v>20.42</v>
      </c>
      <c r="O40" s="5">
        <f t="shared" si="6"/>
        <v>19.63</v>
      </c>
      <c r="P40" s="5">
        <f t="shared" si="6"/>
        <v>18.7</v>
      </c>
      <c r="Q40" s="5">
        <f t="shared" si="6"/>
        <v>15.95</v>
      </c>
      <c r="R40" s="5">
        <f t="shared" si="6"/>
        <v>12.25</v>
      </c>
      <c r="S40" s="5">
        <f t="shared" si="5"/>
        <v>11.07</v>
      </c>
      <c r="T40" s="5">
        <f t="shared" si="5"/>
        <v>8.51</v>
      </c>
      <c r="U40" s="5">
        <f t="shared" si="5"/>
        <v>5.93</v>
      </c>
      <c r="V40" s="5">
        <f t="shared" si="5"/>
        <v>5.55</v>
      </c>
      <c r="W40" s="5">
        <f t="shared" si="5"/>
        <v>4.42</v>
      </c>
      <c r="X40" s="5">
        <f t="shared" si="5"/>
        <v>3.85</v>
      </c>
      <c r="Y40" s="5">
        <f t="shared" si="5"/>
        <v>3.25</v>
      </c>
      <c r="Z40" s="5">
        <f t="shared" si="5"/>
        <v>3.15</v>
      </c>
      <c r="AA40" s="5">
        <f t="shared" si="8"/>
        <v>2.78</v>
      </c>
      <c r="AB40" s="5">
        <f t="shared" si="8"/>
        <v>2.24</v>
      </c>
      <c r="AC40" s="5">
        <f t="shared" si="8"/>
        <v>1.79</v>
      </c>
      <c r="AD40" s="5">
        <f t="shared" si="8"/>
        <v>1.72</v>
      </c>
      <c r="AE40" s="5">
        <f t="shared" si="8"/>
        <v>1.42</v>
      </c>
      <c r="AF40" s="5">
        <f t="shared" si="8"/>
        <v>1.33</v>
      </c>
      <c r="AG40" s="5">
        <f t="shared" si="8"/>
        <v>1.27</v>
      </c>
      <c r="AH40" s="5">
        <f t="shared" si="8"/>
        <v>1.04</v>
      </c>
      <c r="AI40" s="5">
        <f t="shared" si="8"/>
        <v>0.9</v>
      </c>
      <c r="AJ40" s="5">
        <f t="shared" si="8"/>
        <v>0.84</v>
      </c>
    </row>
    <row r="41" spans="1:36">
      <c r="A41" t="str">
        <f>"primary_archetype_"&amp;TEXT(ROUND(Table213[[#This Row],[2016]],1),"0.0")</f>
        <v>primary_archetype_26.4</v>
      </c>
      <c r="B41" s="5">
        <f t="shared" si="2"/>
        <v>26.4</v>
      </c>
      <c r="C41" s="5">
        <f t="shared" si="6"/>
        <v>26.4</v>
      </c>
      <c r="D41" s="5">
        <f t="shared" si="6"/>
        <v>26.4</v>
      </c>
      <c r="E41" s="5">
        <f t="shared" si="6"/>
        <v>25.9</v>
      </c>
      <c r="F41" s="5">
        <f t="shared" si="6"/>
        <v>24.68</v>
      </c>
      <c r="G41" s="5">
        <f t="shared" si="6"/>
        <v>24.85</v>
      </c>
      <c r="H41" s="5">
        <f t="shared" si="6"/>
        <v>24.33</v>
      </c>
      <c r="I41" s="5">
        <f t="shared" si="6"/>
        <v>23.31</v>
      </c>
      <c r="J41" s="5">
        <f t="shared" si="6"/>
        <v>22.74</v>
      </c>
      <c r="K41" s="5">
        <f t="shared" si="6"/>
        <v>22.15</v>
      </c>
      <c r="L41" s="5">
        <f t="shared" si="6"/>
        <v>21.22</v>
      </c>
      <c r="M41" s="5">
        <f t="shared" si="6"/>
        <v>21.11</v>
      </c>
      <c r="N41" s="5">
        <f t="shared" si="6"/>
        <v>20.35</v>
      </c>
      <c r="O41" s="5">
        <f t="shared" si="6"/>
        <v>19.56</v>
      </c>
      <c r="P41" s="5">
        <f t="shared" si="6"/>
        <v>18.63</v>
      </c>
      <c r="Q41" s="5">
        <f t="shared" si="6"/>
        <v>15.9</v>
      </c>
      <c r="R41" s="5">
        <f t="shared" si="6"/>
        <v>12.21</v>
      </c>
      <c r="S41" s="5">
        <f t="shared" si="5"/>
        <v>11.04</v>
      </c>
      <c r="T41" s="5">
        <f t="shared" si="5"/>
        <v>8.48</v>
      </c>
      <c r="U41" s="5">
        <f t="shared" si="5"/>
        <v>5.91</v>
      </c>
      <c r="V41" s="5">
        <f t="shared" si="5"/>
        <v>5.53</v>
      </c>
      <c r="W41" s="5">
        <f t="shared" si="5"/>
        <v>4.41</v>
      </c>
      <c r="X41" s="5">
        <f t="shared" si="5"/>
        <v>3.83</v>
      </c>
      <c r="Y41" s="5">
        <f t="shared" si="5"/>
        <v>3.24</v>
      </c>
      <c r="Z41" s="5">
        <f t="shared" si="5"/>
        <v>3.15</v>
      </c>
      <c r="AA41" s="5">
        <f t="shared" si="8"/>
        <v>2.78</v>
      </c>
      <c r="AB41" s="5">
        <f t="shared" si="8"/>
        <v>2.23</v>
      </c>
      <c r="AC41" s="5">
        <f t="shared" si="8"/>
        <v>1.79</v>
      </c>
      <c r="AD41" s="5">
        <f t="shared" si="8"/>
        <v>1.72</v>
      </c>
      <c r="AE41" s="5">
        <f t="shared" si="8"/>
        <v>1.42</v>
      </c>
      <c r="AF41" s="5">
        <f t="shared" si="8"/>
        <v>1.33</v>
      </c>
      <c r="AG41" s="5">
        <f t="shared" si="8"/>
        <v>1.27</v>
      </c>
      <c r="AH41" s="5">
        <f t="shared" si="8"/>
        <v>1.04</v>
      </c>
      <c r="AI41" s="5">
        <f t="shared" si="8"/>
        <v>0.9</v>
      </c>
      <c r="AJ41" s="5">
        <f t="shared" si="8"/>
        <v>0.84</v>
      </c>
    </row>
    <row r="42" spans="1:36">
      <c r="A42" t="str">
        <f>"primary_archetype_"&amp;TEXT(ROUND(Table213[[#This Row],[2016]],1),"0.0")</f>
        <v>primary_archetype_26.3</v>
      </c>
      <c r="B42" s="5">
        <f t="shared" si="2"/>
        <v>26.3</v>
      </c>
      <c r="C42" s="5">
        <f t="shared" si="6"/>
        <v>26.3</v>
      </c>
      <c r="D42" s="5">
        <f t="shared" si="6"/>
        <v>26.3</v>
      </c>
      <c r="E42" s="5">
        <f t="shared" si="6"/>
        <v>25.8</v>
      </c>
      <c r="F42" s="5">
        <f t="shared" si="6"/>
        <v>24.59</v>
      </c>
      <c r="G42" s="5">
        <f t="shared" si="6"/>
        <v>24.76</v>
      </c>
      <c r="H42" s="5">
        <f t="shared" si="6"/>
        <v>24.24</v>
      </c>
      <c r="I42" s="5">
        <f t="shared" si="6"/>
        <v>23.22</v>
      </c>
      <c r="J42" s="5">
        <f t="shared" si="6"/>
        <v>22.65</v>
      </c>
      <c r="K42" s="5">
        <f t="shared" si="6"/>
        <v>22.07</v>
      </c>
      <c r="L42" s="5">
        <f t="shared" si="6"/>
        <v>21.14</v>
      </c>
      <c r="M42" s="5">
        <f t="shared" si="6"/>
        <v>21.03</v>
      </c>
      <c r="N42" s="5">
        <f t="shared" si="6"/>
        <v>20.27</v>
      </c>
      <c r="O42" s="5">
        <f t="shared" si="6"/>
        <v>19.49</v>
      </c>
      <c r="P42" s="5">
        <f t="shared" si="6"/>
        <v>18.56</v>
      </c>
      <c r="Q42" s="5">
        <f t="shared" si="6"/>
        <v>15.84</v>
      </c>
      <c r="R42" s="5">
        <f t="shared" si="6"/>
        <v>12.17</v>
      </c>
      <c r="S42" s="5">
        <f t="shared" si="5"/>
        <v>11</v>
      </c>
      <c r="T42" s="5">
        <f t="shared" si="5"/>
        <v>8.45</v>
      </c>
      <c r="U42" s="5">
        <f t="shared" si="5"/>
        <v>5.89</v>
      </c>
      <c r="V42" s="5">
        <f t="shared" si="5"/>
        <v>5.52</v>
      </c>
      <c r="W42" s="5">
        <f t="shared" si="5"/>
        <v>4.39</v>
      </c>
      <c r="X42" s="5">
        <f t="shared" si="5"/>
        <v>3.82</v>
      </c>
      <c r="Y42" s="5">
        <f t="shared" si="5"/>
        <v>3.23</v>
      </c>
      <c r="Z42" s="5">
        <f t="shared" si="5"/>
        <v>3.14</v>
      </c>
      <c r="AA42" s="5">
        <f t="shared" si="8"/>
        <v>2.77</v>
      </c>
      <c r="AB42" s="5">
        <f t="shared" si="8"/>
        <v>2.23</v>
      </c>
      <c r="AC42" s="5">
        <f t="shared" si="8"/>
        <v>1.79</v>
      </c>
      <c r="AD42" s="5">
        <f t="shared" si="8"/>
        <v>1.71</v>
      </c>
      <c r="AE42" s="5">
        <f t="shared" si="8"/>
        <v>1.42</v>
      </c>
      <c r="AF42" s="5">
        <f t="shared" si="8"/>
        <v>1.33</v>
      </c>
      <c r="AG42" s="5">
        <f t="shared" si="8"/>
        <v>1.27</v>
      </c>
      <c r="AH42" s="5">
        <f t="shared" si="8"/>
        <v>1.04</v>
      </c>
      <c r="AI42" s="5">
        <f t="shared" si="8"/>
        <v>0.9</v>
      </c>
      <c r="AJ42" s="5">
        <f t="shared" si="8"/>
        <v>0.84</v>
      </c>
    </row>
    <row r="43" spans="1:36">
      <c r="A43" t="str">
        <f>"primary_archetype_"&amp;TEXT(ROUND(Table213[[#This Row],[2016]],1),"0.0")</f>
        <v>primary_archetype_26.2</v>
      </c>
      <c r="B43" s="5">
        <f t="shared" si="2"/>
        <v>26.2</v>
      </c>
      <c r="C43" s="5">
        <f t="shared" si="6"/>
        <v>26.2</v>
      </c>
      <c r="D43" s="5">
        <f t="shared" si="6"/>
        <v>26.2</v>
      </c>
      <c r="E43" s="5">
        <f t="shared" si="6"/>
        <v>25.7</v>
      </c>
      <c r="F43" s="5">
        <f t="shared" si="6"/>
        <v>24.5</v>
      </c>
      <c r="G43" s="5">
        <f t="shared" si="6"/>
        <v>24.67</v>
      </c>
      <c r="H43" s="5">
        <f t="shared" si="6"/>
        <v>24.14</v>
      </c>
      <c r="I43" s="5">
        <f t="shared" si="6"/>
        <v>23.13</v>
      </c>
      <c r="J43" s="5">
        <f t="shared" si="6"/>
        <v>22.57</v>
      </c>
      <c r="K43" s="5">
        <f t="shared" si="6"/>
        <v>21.98</v>
      </c>
      <c r="L43" s="5">
        <f t="shared" si="6"/>
        <v>21.06</v>
      </c>
      <c r="M43" s="5">
        <f t="shared" si="6"/>
        <v>20.95</v>
      </c>
      <c r="N43" s="5">
        <f t="shared" si="6"/>
        <v>20.2</v>
      </c>
      <c r="O43" s="5">
        <f t="shared" si="6"/>
        <v>19.41</v>
      </c>
      <c r="P43" s="5">
        <f t="shared" si="6"/>
        <v>18.49</v>
      </c>
      <c r="Q43" s="5">
        <f t="shared" si="6"/>
        <v>15.78</v>
      </c>
      <c r="R43" s="5">
        <f t="shared" si="6"/>
        <v>12.12</v>
      </c>
      <c r="S43" s="5">
        <f t="shared" si="5"/>
        <v>10.96</v>
      </c>
      <c r="T43" s="5">
        <f t="shared" si="5"/>
        <v>8.42</v>
      </c>
      <c r="U43" s="5">
        <f t="shared" si="5"/>
        <v>5.87</v>
      </c>
      <c r="V43" s="5">
        <f t="shared" si="5"/>
        <v>5.5</v>
      </c>
      <c r="W43" s="5">
        <f t="shared" si="5"/>
        <v>4.38</v>
      </c>
      <c r="X43" s="5">
        <f t="shared" si="5"/>
        <v>3.81</v>
      </c>
      <c r="Y43" s="5">
        <f t="shared" si="5"/>
        <v>3.22</v>
      </c>
      <c r="Z43" s="5">
        <f t="shared" si="5"/>
        <v>3.13</v>
      </c>
      <c r="AA43" s="5">
        <f t="shared" si="8"/>
        <v>2.76</v>
      </c>
      <c r="AB43" s="5">
        <f t="shared" si="8"/>
        <v>2.22</v>
      </c>
      <c r="AC43" s="5">
        <f t="shared" si="8"/>
        <v>1.78</v>
      </c>
      <c r="AD43" s="5">
        <f t="shared" si="8"/>
        <v>1.71</v>
      </c>
      <c r="AE43" s="5">
        <f t="shared" si="8"/>
        <v>1.41</v>
      </c>
      <c r="AF43" s="5">
        <f t="shared" si="8"/>
        <v>1.33</v>
      </c>
      <c r="AG43" s="5">
        <f t="shared" si="8"/>
        <v>1.27</v>
      </c>
      <c r="AH43" s="5">
        <f t="shared" si="8"/>
        <v>1.04</v>
      </c>
      <c r="AI43" s="5">
        <f t="shared" si="8"/>
        <v>0.91</v>
      </c>
      <c r="AJ43" s="5">
        <f t="shared" si="8"/>
        <v>0.84</v>
      </c>
    </row>
    <row r="44" spans="1:36">
      <c r="A44" t="str">
        <f>"primary_archetype_"&amp;TEXT(ROUND(Table213[[#This Row],[2016]],1),"0.0")</f>
        <v>primary_archetype_26.1</v>
      </c>
      <c r="B44" s="5">
        <f t="shared" si="2"/>
        <v>26.1</v>
      </c>
      <c r="C44" s="5">
        <f t="shared" si="6"/>
        <v>26.1</v>
      </c>
      <c r="D44" s="5">
        <f t="shared" si="6"/>
        <v>26.1</v>
      </c>
      <c r="E44" s="5">
        <f t="shared" si="6"/>
        <v>25.6</v>
      </c>
      <c r="F44" s="5">
        <f t="shared" si="6"/>
        <v>24.4</v>
      </c>
      <c r="G44" s="5">
        <f t="shared" si="6"/>
        <v>24.57</v>
      </c>
      <c r="H44" s="5">
        <f t="shared" si="6"/>
        <v>24.05</v>
      </c>
      <c r="I44" s="5">
        <f t="shared" si="6"/>
        <v>23.05</v>
      </c>
      <c r="J44" s="5">
        <f t="shared" si="6"/>
        <v>22.48</v>
      </c>
      <c r="K44" s="5">
        <f t="shared" si="6"/>
        <v>21.9</v>
      </c>
      <c r="L44" s="5">
        <f t="shared" si="6"/>
        <v>20.98</v>
      </c>
      <c r="M44" s="5">
        <f t="shared" si="6"/>
        <v>20.87</v>
      </c>
      <c r="N44" s="5">
        <f t="shared" si="6"/>
        <v>20.12</v>
      </c>
      <c r="O44" s="5">
        <f t="shared" si="6"/>
        <v>19.34</v>
      </c>
      <c r="P44" s="5">
        <f t="shared" si="6"/>
        <v>18.42</v>
      </c>
      <c r="Q44" s="5">
        <f t="shared" si="6"/>
        <v>15.72</v>
      </c>
      <c r="R44" s="5">
        <f t="shared" ref="R44:AG59" si="9">MROUND((($B44-$AH$2)*((R$2-$AH$2)/($B$2-$AH$2)))+$AH$2,0.01)</f>
        <v>12.08</v>
      </c>
      <c r="S44" s="5">
        <f t="shared" si="9"/>
        <v>10.92</v>
      </c>
      <c r="T44" s="5">
        <f t="shared" si="9"/>
        <v>8.39</v>
      </c>
      <c r="U44" s="5">
        <f t="shared" si="9"/>
        <v>5.85</v>
      </c>
      <c r="V44" s="5">
        <f t="shared" si="9"/>
        <v>5.48</v>
      </c>
      <c r="W44" s="5">
        <f t="shared" si="9"/>
        <v>4.37</v>
      </c>
      <c r="X44" s="5">
        <f t="shared" si="9"/>
        <v>3.8</v>
      </c>
      <c r="Y44" s="5">
        <f t="shared" si="9"/>
        <v>3.21</v>
      </c>
      <c r="Z44" s="5">
        <f t="shared" si="9"/>
        <v>3.12</v>
      </c>
      <c r="AA44" s="5">
        <f t="shared" si="9"/>
        <v>2.75</v>
      </c>
      <c r="AB44" s="5">
        <f t="shared" si="9"/>
        <v>2.22</v>
      </c>
      <c r="AC44" s="5">
        <f t="shared" si="9"/>
        <v>1.78</v>
      </c>
      <c r="AD44" s="5">
        <f t="shared" si="9"/>
        <v>1.71</v>
      </c>
      <c r="AE44" s="5">
        <f t="shared" si="9"/>
        <v>1.41</v>
      </c>
      <c r="AF44" s="5">
        <f t="shared" si="9"/>
        <v>1.33</v>
      </c>
      <c r="AG44" s="5">
        <f t="shared" si="9"/>
        <v>1.27</v>
      </c>
      <c r="AH44" s="5">
        <f t="shared" si="8"/>
        <v>1.04</v>
      </c>
      <c r="AI44" s="5">
        <f t="shared" si="8"/>
        <v>0.91</v>
      </c>
      <c r="AJ44" s="5">
        <f t="shared" si="8"/>
        <v>0.84</v>
      </c>
    </row>
    <row r="45" spans="1:36">
      <c r="A45" t="str">
        <f>"primary_archetype_"&amp;TEXT(ROUND(Table213[[#This Row],[2016]],1),"0.0")</f>
        <v>primary_archetype_26.0</v>
      </c>
      <c r="B45" s="5">
        <f t="shared" si="2"/>
        <v>26</v>
      </c>
      <c r="C45" s="5">
        <f t="shared" ref="C45:R60" si="10">MROUND((($B45-$AH$2)*((C$2-$AH$2)/($B$2-$AH$2)))+$AH$2,0.01)</f>
        <v>26</v>
      </c>
      <c r="D45" s="5">
        <f t="shared" si="10"/>
        <v>26</v>
      </c>
      <c r="E45" s="5">
        <f t="shared" si="10"/>
        <v>25.51</v>
      </c>
      <c r="F45" s="5">
        <f t="shared" si="10"/>
        <v>24.31</v>
      </c>
      <c r="G45" s="5">
        <f t="shared" si="10"/>
        <v>24.48</v>
      </c>
      <c r="H45" s="5">
        <f t="shared" si="10"/>
        <v>23.96</v>
      </c>
      <c r="I45" s="5">
        <f t="shared" si="10"/>
        <v>22.96</v>
      </c>
      <c r="J45" s="5">
        <f t="shared" si="10"/>
        <v>22.39</v>
      </c>
      <c r="K45" s="5">
        <f t="shared" si="10"/>
        <v>21.82</v>
      </c>
      <c r="L45" s="5">
        <f t="shared" si="10"/>
        <v>20.9</v>
      </c>
      <c r="M45" s="5">
        <f t="shared" si="10"/>
        <v>20.79</v>
      </c>
      <c r="N45" s="5">
        <f t="shared" si="10"/>
        <v>20.04</v>
      </c>
      <c r="O45" s="5">
        <f t="shared" si="10"/>
        <v>19.27</v>
      </c>
      <c r="P45" s="5">
        <f t="shared" si="10"/>
        <v>18.35</v>
      </c>
      <c r="Q45" s="5">
        <f t="shared" si="10"/>
        <v>15.66</v>
      </c>
      <c r="R45" s="5">
        <f t="shared" si="10"/>
        <v>12.03</v>
      </c>
      <c r="S45" s="5">
        <f t="shared" si="9"/>
        <v>10.88</v>
      </c>
      <c r="T45" s="5">
        <f t="shared" si="9"/>
        <v>8.36</v>
      </c>
      <c r="U45" s="5">
        <f t="shared" si="9"/>
        <v>5.83</v>
      </c>
      <c r="V45" s="5">
        <f t="shared" si="9"/>
        <v>5.46</v>
      </c>
      <c r="W45" s="5">
        <f t="shared" si="9"/>
        <v>4.35</v>
      </c>
      <c r="X45" s="5">
        <f t="shared" si="9"/>
        <v>3.79</v>
      </c>
      <c r="Y45" s="5">
        <f t="shared" si="9"/>
        <v>3.2</v>
      </c>
      <c r="Z45" s="5">
        <f t="shared" si="9"/>
        <v>3.11</v>
      </c>
      <c r="AA45" s="5">
        <f t="shared" si="9"/>
        <v>2.75</v>
      </c>
      <c r="AB45" s="5">
        <f t="shared" si="9"/>
        <v>2.21</v>
      </c>
      <c r="AC45" s="5">
        <f t="shared" si="9"/>
        <v>1.78</v>
      </c>
      <c r="AD45" s="5">
        <f t="shared" si="9"/>
        <v>1.71</v>
      </c>
      <c r="AE45" s="5">
        <f t="shared" si="9"/>
        <v>1.41</v>
      </c>
      <c r="AF45" s="5">
        <f t="shared" si="9"/>
        <v>1.33</v>
      </c>
      <c r="AG45" s="5">
        <f t="shared" si="9"/>
        <v>1.27</v>
      </c>
      <c r="AH45" s="5">
        <f t="shared" si="8"/>
        <v>1.04</v>
      </c>
      <c r="AI45" s="5">
        <f t="shared" si="8"/>
        <v>0.91</v>
      </c>
      <c r="AJ45" s="5">
        <f t="shared" si="8"/>
        <v>0.84</v>
      </c>
    </row>
    <row r="46" spans="1:36">
      <c r="A46" t="str">
        <f>"primary_archetype_"&amp;TEXT(ROUND(Table213[[#This Row],[2016]],1),"0.0")</f>
        <v>primary_archetype_25.9</v>
      </c>
      <c r="B46" s="5">
        <f t="shared" si="2"/>
        <v>25.9</v>
      </c>
      <c r="C46" s="5">
        <f t="shared" si="10"/>
        <v>25.9</v>
      </c>
      <c r="D46" s="5">
        <f t="shared" si="10"/>
        <v>25.9</v>
      </c>
      <c r="E46" s="5">
        <f t="shared" si="10"/>
        <v>25.41</v>
      </c>
      <c r="F46" s="5">
        <f t="shared" si="10"/>
        <v>24.22</v>
      </c>
      <c r="G46" s="5">
        <f t="shared" si="10"/>
        <v>24.38</v>
      </c>
      <c r="H46" s="5">
        <f t="shared" si="10"/>
        <v>23.87</v>
      </c>
      <c r="I46" s="5">
        <f t="shared" si="10"/>
        <v>22.87</v>
      </c>
      <c r="J46" s="5">
        <f t="shared" si="10"/>
        <v>22.31</v>
      </c>
      <c r="K46" s="5">
        <f t="shared" si="10"/>
        <v>21.73</v>
      </c>
      <c r="L46" s="5">
        <f t="shared" si="10"/>
        <v>20.82</v>
      </c>
      <c r="M46" s="5">
        <f t="shared" si="10"/>
        <v>20.71</v>
      </c>
      <c r="N46" s="5">
        <f t="shared" si="10"/>
        <v>19.97</v>
      </c>
      <c r="O46" s="5">
        <f t="shared" si="10"/>
        <v>19.19</v>
      </c>
      <c r="P46" s="5">
        <f t="shared" si="10"/>
        <v>18.28</v>
      </c>
      <c r="Q46" s="5">
        <f t="shared" si="10"/>
        <v>15.6</v>
      </c>
      <c r="R46" s="5">
        <f t="shared" si="10"/>
        <v>11.99</v>
      </c>
      <c r="S46" s="5">
        <f t="shared" si="9"/>
        <v>10.84</v>
      </c>
      <c r="T46" s="5">
        <f t="shared" si="9"/>
        <v>8.33</v>
      </c>
      <c r="U46" s="5">
        <f t="shared" si="9"/>
        <v>5.81</v>
      </c>
      <c r="V46" s="5">
        <f t="shared" si="9"/>
        <v>5.44</v>
      </c>
      <c r="W46" s="5">
        <f t="shared" si="9"/>
        <v>4.34</v>
      </c>
      <c r="X46" s="5">
        <f t="shared" si="9"/>
        <v>3.78</v>
      </c>
      <c r="Y46" s="5">
        <f t="shared" si="9"/>
        <v>3.2</v>
      </c>
      <c r="Z46" s="5">
        <f t="shared" si="9"/>
        <v>3.1</v>
      </c>
      <c r="AA46" s="5">
        <f t="shared" si="9"/>
        <v>2.74</v>
      </c>
      <c r="AB46" s="5">
        <f t="shared" si="9"/>
        <v>2.21</v>
      </c>
      <c r="AC46" s="5">
        <f t="shared" si="9"/>
        <v>1.77</v>
      </c>
      <c r="AD46" s="5">
        <f t="shared" si="9"/>
        <v>1.7</v>
      </c>
      <c r="AE46" s="5">
        <f t="shared" si="9"/>
        <v>1.41</v>
      </c>
      <c r="AF46" s="5">
        <f t="shared" si="9"/>
        <v>1.33</v>
      </c>
      <c r="AG46" s="5">
        <f t="shared" si="9"/>
        <v>1.27</v>
      </c>
      <c r="AH46" s="5">
        <f t="shared" si="8"/>
        <v>1.04</v>
      </c>
      <c r="AI46" s="5">
        <f t="shared" si="8"/>
        <v>0.91</v>
      </c>
      <c r="AJ46" s="5">
        <f t="shared" si="8"/>
        <v>0.85</v>
      </c>
    </row>
    <row r="47" spans="1:36">
      <c r="A47" t="str">
        <f>"primary_archetype_"&amp;TEXT(ROUND(Table213[[#This Row],[2016]],1),"0.0")</f>
        <v>primary_archetype_25.8</v>
      </c>
      <c r="B47" s="5">
        <f t="shared" si="2"/>
        <v>25.8</v>
      </c>
      <c r="C47" s="5">
        <f t="shared" si="10"/>
        <v>25.8</v>
      </c>
      <c r="D47" s="5">
        <f t="shared" si="10"/>
        <v>25.8</v>
      </c>
      <c r="E47" s="5">
        <f t="shared" si="10"/>
        <v>25.31</v>
      </c>
      <c r="F47" s="5">
        <f t="shared" si="10"/>
        <v>24.13</v>
      </c>
      <c r="G47" s="5">
        <f t="shared" si="10"/>
        <v>24.29</v>
      </c>
      <c r="H47" s="5">
        <f t="shared" si="10"/>
        <v>23.78</v>
      </c>
      <c r="I47" s="5">
        <f t="shared" si="10"/>
        <v>22.78</v>
      </c>
      <c r="J47" s="5">
        <f t="shared" si="10"/>
        <v>22.22</v>
      </c>
      <c r="K47" s="5">
        <f t="shared" si="10"/>
        <v>21.65</v>
      </c>
      <c r="L47" s="5">
        <f t="shared" si="10"/>
        <v>20.74</v>
      </c>
      <c r="M47" s="5">
        <f t="shared" si="10"/>
        <v>20.63</v>
      </c>
      <c r="N47" s="5">
        <f t="shared" si="10"/>
        <v>19.89</v>
      </c>
      <c r="O47" s="5">
        <f t="shared" si="10"/>
        <v>19.12</v>
      </c>
      <c r="P47" s="5">
        <f t="shared" si="10"/>
        <v>18.21</v>
      </c>
      <c r="Q47" s="5">
        <f t="shared" si="10"/>
        <v>15.54</v>
      </c>
      <c r="R47" s="5">
        <f t="shared" si="10"/>
        <v>11.95</v>
      </c>
      <c r="S47" s="5">
        <f t="shared" si="9"/>
        <v>10.8</v>
      </c>
      <c r="T47" s="5">
        <f t="shared" si="9"/>
        <v>8.31</v>
      </c>
      <c r="U47" s="5">
        <f t="shared" si="9"/>
        <v>5.79</v>
      </c>
      <c r="V47" s="5">
        <f t="shared" si="9"/>
        <v>5.43</v>
      </c>
      <c r="W47" s="5">
        <f t="shared" si="9"/>
        <v>4.33</v>
      </c>
      <c r="X47" s="5">
        <f t="shared" si="9"/>
        <v>3.77</v>
      </c>
      <c r="Y47" s="5">
        <f t="shared" si="9"/>
        <v>3.19</v>
      </c>
      <c r="Z47" s="5">
        <f t="shared" si="9"/>
        <v>3.1</v>
      </c>
      <c r="AA47" s="5">
        <f t="shared" si="9"/>
        <v>2.73</v>
      </c>
      <c r="AB47" s="5">
        <f t="shared" si="9"/>
        <v>2.21</v>
      </c>
      <c r="AC47" s="5">
        <f t="shared" si="9"/>
        <v>1.77</v>
      </c>
      <c r="AD47" s="5">
        <f t="shared" si="9"/>
        <v>1.7</v>
      </c>
      <c r="AE47" s="5">
        <f t="shared" si="9"/>
        <v>1.41</v>
      </c>
      <c r="AF47" s="5">
        <f t="shared" si="9"/>
        <v>1.33</v>
      </c>
      <c r="AG47" s="5">
        <f t="shared" si="9"/>
        <v>1.27</v>
      </c>
      <c r="AH47" s="5">
        <f t="shared" si="8"/>
        <v>1.04</v>
      </c>
      <c r="AI47" s="5">
        <f t="shared" si="8"/>
        <v>0.91</v>
      </c>
      <c r="AJ47" s="5">
        <f t="shared" si="8"/>
        <v>0.85</v>
      </c>
    </row>
    <row r="48" spans="1:36">
      <c r="A48" t="str">
        <f>"primary_archetype_"&amp;TEXT(ROUND(Table213[[#This Row],[2016]],1),"0.0")</f>
        <v>primary_archetype_25.7</v>
      </c>
      <c r="B48" s="5">
        <f t="shared" si="2"/>
        <v>25.7</v>
      </c>
      <c r="C48" s="5">
        <f t="shared" si="10"/>
        <v>25.7</v>
      </c>
      <c r="D48" s="5">
        <f t="shared" si="10"/>
        <v>25.7</v>
      </c>
      <c r="E48" s="5">
        <f t="shared" si="10"/>
        <v>25.21</v>
      </c>
      <c r="F48" s="5">
        <f t="shared" si="10"/>
        <v>24.03</v>
      </c>
      <c r="G48" s="5">
        <f t="shared" si="10"/>
        <v>24.2</v>
      </c>
      <c r="H48" s="5">
        <f t="shared" si="10"/>
        <v>23.68</v>
      </c>
      <c r="I48" s="5">
        <f t="shared" si="10"/>
        <v>22.69</v>
      </c>
      <c r="J48" s="5">
        <f t="shared" si="10"/>
        <v>22.14</v>
      </c>
      <c r="K48" s="5">
        <f t="shared" si="10"/>
        <v>21.57</v>
      </c>
      <c r="L48" s="5">
        <f t="shared" si="10"/>
        <v>20.66</v>
      </c>
      <c r="M48" s="5">
        <f t="shared" si="10"/>
        <v>20.55</v>
      </c>
      <c r="N48" s="5">
        <f t="shared" si="10"/>
        <v>19.81</v>
      </c>
      <c r="O48" s="5">
        <f t="shared" si="10"/>
        <v>19.05</v>
      </c>
      <c r="P48" s="5">
        <f t="shared" si="10"/>
        <v>18.14</v>
      </c>
      <c r="Q48" s="5">
        <f t="shared" si="10"/>
        <v>15.49</v>
      </c>
      <c r="R48" s="5">
        <f t="shared" si="10"/>
        <v>11.9</v>
      </c>
      <c r="S48" s="5">
        <f t="shared" si="9"/>
        <v>10.76</v>
      </c>
      <c r="T48" s="5">
        <f t="shared" si="9"/>
        <v>8.28</v>
      </c>
      <c r="U48" s="5">
        <f t="shared" si="9"/>
        <v>5.77</v>
      </c>
      <c r="V48" s="5">
        <f t="shared" si="9"/>
        <v>5.41</v>
      </c>
      <c r="W48" s="5">
        <f t="shared" si="9"/>
        <v>4.31</v>
      </c>
      <c r="X48" s="5">
        <f t="shared" si="9"/>
        <v>3.76</v>
      </c>
      <c r="Y48" s="5">
        <f t="shared" si="9"/>
        <v>3.18</v>
      </c>
      <c r="Z48" s="5">
        <f t="shared" si="9"/>
        <v>3.09</v>
      </c>
      <c r="AA48" s="5">
        <f t="shared" si="9"/>
        <v>2.73</v>
      </c>
      <c r="AB48" s="5">
        <f t="shared" si="9"/>
        <v>2.2</v>
      </c>
      <c r="AC48" s="5">
        <f t="shared" si="9"/>
        <v>1.77</v>
      </c>
      <c r="AD48" s="5">
        <f t="shared" si="9"/>
        <v>1.7</v>
      </c>
      <c r="AE48" s="5">
        <f t="shared" si="9"/>
        <v>1.41</v>
      </c>
      <c r="AF48" s="5">
        <f t="shared" si="9"/>
        <v>1.33</v>
      </c>
      <c r="AG48" s="5">
        <f t="shared" si="9"/>
        <v>1.26</v>
      </c>
      <c r="AH48" s="5">
        <f t="shared" si="8"/>
        <v>1.04</v>
      </c>
      <c r="AI48" s="5">
        <f t="shared" si="8"/>
        <v>0.91</v>
      </c>
      <c r="AJ48" s="5">
        <f t="shared" si="8"/>
        <v>0.85</v>
      </c>
    </row>
    <row r="49" spans="1:36">
      <c r="A49" t="str">
        <f>"primary_archetype_"&amp;TEXT(ROUND(Table213[[#This Row],[2016]],1),"0.0")</f>
        <v>primary_archetype_25.6</v>
      </c>
      <c r="B49" s="5">
        <f t="shared" si="2"/>
        <v>25.6</v>
      </c>
      <c r="C49" s="5">
        <f t="shared" si="10"/>
        <v>25.6</v>
      </c>
      <c r="D49" s="5">
        <f t="shared" si="10"/>
        <v>25.6</v>
      </c>
      <c r="E49" s="5">
        <f t="shared" si="10"/>
        <v>25.11</v>
      </c>
      <c r="F49" s="5">
        <f t="shared" si="10"/>
        <v>23.94</v>
      </c>
      <c r="G49" s="5">
        <f t="shared" si="10"/>
        <v>24.1</v>
      </c>
      <c r="H49" s="5">
        <f t="shared" si="10"/>
        <v>23.59</v>
      </c>
      <c r="I49" s="5">
        <f t="shared" si="10"/>
        <v>22.61</v>
      </c>
      <c r="J49" s="5">
        <f t="shared" si="10"/>
        <v>22.05</v>
      </c>
      <c r="K49" s="5">
        <f t="shared" si="10"/>
        <v>21.48</v>
      </c>
      <c r="L49" s="5">
        <f t="shared" si="10"/>
        <v>20.58</v>
      </c>
      <c r="M49" s="5">
        <f t="shared" si="10"/>
        <v>20.47</v>
      </c>
      <c r="N49" s="5">
        <f t="shared" si="10"/>
        <v>19.74</v>
      </c>
      <c r="O49" s="5">
        <f t="shared" si="10"/>
        <v>18.97</v>
      </c>
      <c r="P49" s="5">
        <f t="shared" si="10"/>
        <v>18.07</v>
      </c>
      <c r="Q49" s="5">
        <f t="shared" si="10"/>
        <v>15.43</v>
      </c>
      <c r="R49" s="5">
        <f t="shared" si="10"/>
        <v>11.86</v>
      </c>
      <c r="S49" s="5">
        <f t="shared" si="9"/>
        <v>10.72</v>
      </c>
      <c r="T49" s="5">
        <f t="shared" si="9"/>
        <v>8.25</v>
      </c>
      <c r="U49" s="5">
        <f t="shared" si="9"/>
        <v>5.75</v>
      </c>
      <c r="V49" s="5">
        <f t="shared" si="9"/>
        <v>5.39</v>
      </c>
      <c r="W49" s="5">
        <f t="shared" si="9"/>
        <v>4.3</v>
      </c>
      <c r="X49" s="5">
        <f t="shared" si="9"/>
        <v>3.75</v>
      </c>
      <c r="Y49" s="5">
        <f t="shared" si="9"/>
        <v>3.17</v>
      </c>
      <c r="Z49" s="5">
        <f t="shared" si="9"/>
        <v>3.08</v>
      </c>
      <c r="AA49" s="5">
        <f t="shared" si="9"/>
        <v>2.72</v>
      </c>
      <c r="AB49" s="5">
        <f t="shared" si="9"/>
        <v>2.2</v>
      </c>
      <c r="AC49" s="5">
        <f t="shared" si="9"/>
        <v>1.77</v>
      </c>
      <c r="AD49" s="5">
        <f t="shared" si="9"/>
        <v>1.7</v>
      </c>
      <c r="AE49" s="5">
        <f t="shared" si="9"/>
        <v>1.41</v>
      </c>
      <c r="AF49" s="5">
        <f t="shared" si="9"/>
        <v>1.32</v>
      </c>
      <c r="AG49" s="5">
        <f t="shared" si="9"/>
        <v>1.26</v>
      </c>
      <c r="AH49" s="5">
        <f t="shared" si="8"/>
        <v>1.04</v>
      </c>
      <c r="AI49" s="5">
        <f t="shared" si="8"/>
        <v>0.91</v>
      </c>
      <c r="AJ49" s="5">
        <f t="shared" si="8"/>
        <v>0.85</v>
      </c>
    </row>
    <row r="50" spans="1:36">
      <c r="A50" t="str">
        <f>"primary_archetype_"&amp;TEXT(ROUND(Table213[[#This Row],[2016]],1),"0.0")</f>
        <v>primary_archetype_25.5</v>
      </c>
      <c r="B50" s="5">
        <f t="shared" si="2"/>
        <v>25.5</v>
      </c>
      <c r="C50" s="5">
        <f t="shared" si="10"/>
        <v>25.5</v>
      </c>
      <c r="D50" s="5">
        <f t="shared" si="10"/>
        <v>25.5</v>
      </c>
      <c r="E50" s="5">
        <f t="shared" si="10"/>
        <v>25.02</v>
      </c>
      <c r="F50" s="5">
        <f t="shared" si="10"/>
        <v>23.85</v>
      </c>
      <c r="G50" s="5">
        <f t="shared" si="10"/>
        <v>24.01</v>
      </c>
      <c r="H50" s="5">
        <f t="shared" si="10"/>
        <v>23.5</v>
      </c>
      <c r="I50" s="5">
        <f t="shared" si="10"/>
        <v>22.52</v>
      </c>
      <c r="J50" s="5">
        <f t="shared" si="10"/>
        <v>21.97</v>
      </c>
      <c r="K50" s="5">
        <f t="shared" si="10"/>
        <v>21.4</v>
      </c>
      <c r="L50" s="5">
        <f t="shared" si="10"/>
        <v>20.5</v>
      </c>
      <c r="M50" s="5">
        <f t="shared" si="10"/>
        <v>20.4</v>
      </c>
      <c r="N50" s="5">
        <f t="shared" si="10"/>
        <v>19.66</v>
      </c>
      <c r="O50" s="5">
        <f t="shared" si="10"/>
        <v>18.9</v>
      </c>
      <c r="P50" s="5">
        <f t="shared" si="10"/>
        <v>18</v>
      </c>
      <c r="Q50" s="5">
        <f t="shared" si="10"/>
        <v>15.37</v>
      </c>
      <c r="R50" s="5">
        <f t="shared" si="10"/>
        <v>11.81</v>
      </c>
      <c r="S50" s="5">
        <f t="shared" si="9"/>
        <v>10.68</v>
      </c>
      <c r="T50" s="5">
        <f t="shared" si="9"/>
        <v>8.22</v>
      </c>
      <c r="U50" s="5">
        <f t="shared" si="9"/>
        <v>5.73</v>
      </c>
      <c r="V50" s="5">
        <f t="shared" si="9"/>
        <v>5.37</v>
      </c>
      <c r="W50" s="5">
        <f t="shared" si="9"/>
        <v>4.29</v>
      </c>
      <c r="X50" s="5">
        <f t="shared" si="9"/>
        <v>3.73</v>
      </c>
      <c r="Y50" s="5">
        <f t="shared" si="9"/>
        <v>3.16</v>
      </c>
      <c r="Z50" s="5">
        <f t="shared" si="9"/>
        <v>3.07</v>
      </c>
      <c r="AA50" s="5">
        <f t="shared" si="9"/>
        <v>2.71</v>
      </c>
      <c r="AB50" s="5">
        <f t="shared" si="9"/>
        <v>2.19</v>
      </c>
      <c r="AC50" s="5">
        <f t="shared" si="9"/>
        <v>1.76</v>
      </c>
      <c r="AD50" s="5">
        <f t="shared" si="9"/>
        <v>1.69</v>
      </c>
      <c r="AE50" s="5">
        <f t="shared" si="9"/>
        <v>1.4</v>
      </c>
      <c r="AF50" s="5">
        <f t="shared" si="9"/>
        <v>1.32</v>
      </c>
      <c r="AG50" s="5">
        <f t="shared" si="9"/>
        <v>1.26</v>
      </c>
      <c r="AH50" s="5">
        <f t="shared" si="8"/>
        <v>1.04</v>
      </c>
      <c r="AI50" s="5">
        <f t="shared" si="8"/>
        <v>0.91</v>
      </c>
      <c r="AJ50" s="5">
        <f t="shared" si="8"/>
        <v>0.85</v>
      </c>
    </row>
    <row r="51" spans="1:36">
      <c r="A51" t="str">
        <f>"primary_archetype_"&amp;TEXT(ROUND(Table213[[#This Row],[2016]],1),"0.0")</f>
        <v>primary_archetype_25.4</v>
      </c>
      <c r="B51" s="5">
        <f t="shared" si="2"/>
        <v>25.4</v>
      </c>
      <c r="C51" s="5">
        <f t="shared" si="10"/>
        <v>25.4</v>
      </c>
      <c r="D51" s="5">
        <f t="shared" si="10"/>
        <v>25.4</v>
      </c>
      <c r="E51" s="5">
        <f t="shared" si="10"/>
        <v>24.92</v>
      </c>
      <c r="F51" s="5">
        <f t="shared" si="10"/>
        <v>23.75</v>
      </c>
      <c r="G51" s="5">
        <f t="shared" si="10"/>
        <v>23.92</v>
      </c>
      <c r="H51" s="5">
        <f t="shared" si="10"/>
        <v>23.41</v>
      </c>
      <c r="I51" s="5">
        <f t="shared" si="10"/>
        <v>22.43</v>
      </c>
      <c r="J51" s="5">
        <f t="shared" si="10"/>
        <v>21.88</v>
      </c>
      <c r="K51" s="5">
        <f t="shared" si="10"/>
        <v>21.32</v>
      </c>
      <c r="L51" s="5">
        <f t="shared" si="10"/>
        <v>20.42</v>
      </c>
      <c r="M51" s="5">
        <f t="shared" si="10"/>
        <v>20.32</v>
      </c>
      <c r="N51" s="5">
        <f t="shared" si="10"/>
        <v>19.59</v>
      </c>
      <c r="O51" s="5">
        <f t="shared" si="10"/>
        <v>18.83</v>
      </c>
      <c r="P51" s="5">
        <f t="shared" si="10"/>
        <v>17.93</v>
      </c>
      <c r="Q51" s="5">
        <f t="shared" si="10"/>
        <v>15.31</v>
      </c>
      <c r="R51" s="5">
        <f t="shared" si="10"/>
        <v>11.77</v>
      </c>
      <c r="S51" s="5">
        <f t="shared" si="9"/>
        <v>10.64</v>
      </c>
      <c r="T51" s="5">
        <f t="shared" si="9"/>
        <v>8.19</v>
      </c>
      <c r="U51" s="5">
        <f t="shared" si="9"/>
        <v>5.72</v>
      </c>
      <c r="V51" s="5">
        <f t="shared" si="9"/>
        <v>5.36</v>
      </c>
      <c r="W51" s="5">
        <f t="shared" si="9"/>
        <v>4.27</v>
      </c>
      <c r="X51" s="5">
        <f t="shared" si="9"/>
        <v>3.72</v>
      </c>
      <c r="Y51" s="5">
        <f t="shared" si="9"/>
        <v>3.15</v>
      </c>
      <c r="Z51" s="5">
        <f t="shared" si="9"/>
        <v>3.06</v>
      </c>
      <c r="AA51" s="5">
        <f t="shared" si="9"/>
        <v>2.71</v>
      </c>
      <c r="AB51" s="5">
        <f t="shared" si="9"/>
        <v>2.19</v>
      </c>
      <c r="AC51" s="5">
        <f t="shared" si="9"/>
        <v>1.76</v>
      </c>
      <c r="AD51" s="5">
        <f t="shared" si="9"/>
        <v>1.69</v>
      </c>
      <c r="AE51" s="5">
        <f t="shared" si="9"/>
        <v>1.4</v>
      </c>
      <c r="AF51" s="5">
        <f t="shared" si="9"/>
        <v>1.32</v>
      </c>
      <c r="AG51" s="5">
        <f t="shared" si="9"/>
        <v>1.26</v>
      </c>
      <c r="AH51" s="5">
        <f t="shared" si="8"/>
        <v>1.04</v>
      </c>
      <c r="AI51" s="5">
        <f t="shared" si="8"/>
        <v>0.91</v>
      </c>
      <c r="AJ51" s="5">
        <f t="shared" si="8"/>
        <v>0.85</v>
      </c>
    </row>
    <row r="52" spans="1:36">
      <c r="A52" t="str">
        <f>"primary_archetype_"&amp;TEXT(ROUND(Table213[[#This Row],[2016]],1),"0.0")</f>
        <v>primary_archetype_25.3</v>
      </c>
      <c r="B52" s="5">
        <f t="shared" si="2"/>
        <v>25.3</v>
      </c>
      <c r="C52" s="5">
        <f t="shared" si="10"/>
        <v>25.3</v>
      </c>
      <c r="D52" s="5">
        <f t="shared" si="10"/>
        <v>25.3</v>
      </c>
      <c r="E52" s="5">
        <f t="shared" si="10"/>
        <v>24.82</v>
      </c>
      <c r="F52" s="5">
        <f t="shared" si="10"/>
        <v>23.66</v>
      </c>
      <c r="G52" s="5">
        <f t="shared" si="10"/>
        <v>23.82</v>
      </c>
      <c r="H52" s="5">
        <f t="shared" si="10"/>
        <v>23.32</v>
      </c>
      <c r="I52" s="5">
        <f t="shared" si="10"/>
        <v>22.34</v>
      </c>
      <c r="J52" s="5">
        <f t="shared" si="10"/>
        <v>21.8</v>
      </c>
      <c r="K52" s="5">
        <f t="shared" si="10"/>
        <v>21.23</v>
      </c>
      <c r="L52" s="5">
        <f t="shared" si="10"/>
        <v>20.35</v>
      </c>
      <c r="M52" s="5">
        <f t="shared" si="10"/>
        <v>20.24</v>
      </c>
      <c r="N52" s="5">
        <f t="shared" si="10"/>
        <v>19.51</v>
      </c>
      <c r="O52" s="5">
        <f t="shared" si="10"/>
        <v>18.76</v>
      </c>
      <c r="P52" s="5">
        <f t="shared" si="10"/>
        <v>17.86</v>
      </c>
      <c r="Q52" s="5">
        <f t="shared" si="10"/>
        <v>15.25</v>
      </c>
      <c r="R52" s="5">
        <f t="shared" si="10"/>
        <v>11.73</v>
      </c>
      <c r="S52" s="5">
        <f t="shared" si="9"/>
        <v>10.6</v>
      </c>
      <c r="T52" s="5">
        <f t="shared" si="9"/>
        <v>8.16</v>
      </c>
      <c r="U52" s="5">
        <f t="shared" si="9"/>
        <v>5.7</v>
      </c>
      <c r="V52" s="5">
        <f t="shared" si="9"/>
        <v>5.34</v>
      </c>
      <c r="W52" s="5">
        <f t="shared" si="9"/>
        <v>4.26</v>
      </c>
      <c r="X52" s="5">
        <f t="shared" si="9"/>
        <v>3.71</v>
      </c>
      <c r="Y52" s="5">
        <f t="shared" si="9"/>
        <v>3.14</v>
      </c>
      <c r="Z52" s="5">
        <f t="shared" si="9"/>
        <v>3.05</v>
      </c>
      <c r="AA52" s="5">
        <f t="shared" si="9"/>
        <v>2.7</v>
      </c>
      <c r="AB52" s="5">
        <f t="shared" si="9"/>
        <v>2.18</v>
      </c>
      <c r="AC52" s="5">
        <f t="shared" si="9"/>
        <v>1.76</v>
      </c>
      <c r="AD52" s="5">
        <f t="shared" si="9"/>
        <v>1.69</v>
      </c>
      <c r="AE52" s="5">
        <f t="shared" si="9"/>
        <v>1.4</v>
      </c>
      <c r="AF52" s="5">
        <f t="shared" si="9"/>
        <v>1.32</v>
      </c>
      <c r="AG52" s="5">
        <f t="shared" si="9"/>
        <v>1.26</v>
      </c>
      <c r="AH52" s="5">
        <f t="shared" si="8"/>
        <v>1.04</v>
      </c>
      <c r="AI52" s="5">
        <f t="shared" si="8"/>
        <v>0.91</v>
      </c>
      <c r="AJ52" s="5">
        <f t="shared" si="8"/>
        <v>0.85</v>
      </c>
    </row>
    <row r="53" spans="1:36">
      <c r="A53" t="str">
        <f>"primary_archetype_"&amp;TEXT(ROUND(Table213[[#This Row],[2016]],1),"0.0")</f>
        <v>primary_archetype_25.2</v>
      </c>
      <c r="B53" s="5">
        <f t="shared" si="2"/>
        <v>25.2</v>
      </c>
      <c r="C53" s="5">
        <f t="shared" si="10"/>
        <v>25.2</v>
      </c>
      <c r="D53" s="5">
        <f t="shared" si="10"/>
        <v>25.2</v>
      </c>
      <c r="E53" s="5">
        <f t="shared" si="10"/>
        <v>24.72</v>
      </c>
      <c r="F53" s="5">
        <f t="shared" si="10"/>
        <v>23.57</v>
      </c>
      <c r="G53" s="5">
        <f t="shared" si="10"/>
        <v>23.73</v>
      </c>
      <c r="H53" s="5">
        <f t="shared" si="10"/>
        <v>23.23</v>
      </c>
      <c r="I53" s="5">
        <f t="shared" si="10"/>
        <v>22.25</v>
      </c>
      <c r="J53" s="5">
        <f t="shared" si="10"/>
        <v>21.71</v>
      </c>
      <c r="K53" s="5">
        <f t="shared" si="10"/>
        <v>21.15</v>
      </c>
      <c r="L53" s="5">
        <f t="shared" si="10"/>
        <v>20.27</v>
      </c>
      <c r="M53" s="5">
        <f t="shared" si="10"/>
        <v>20.16</v>
      </c>
      <c r="N53" s="5">
        <f t="shared" si="10"/>
        <v>19.43</v>
      </c>
      <c r="O53" s="5">
        <f t="shared" si="10"/>
        <v>18.68</v>
      </c>
      <c r="P53" s="5">
        <f t="shared" si="10"/>
        <v>17.79</v>
      </c>
      <c r="Q53" s="5">
        <f t="shared" si="10"/>
        <v>15.19</v>
      </c>
      <c r="R53" s="5">
        <f t="shared" si="10"/>
        <v>11.68</v>
      </c>
      <c r="S53" s="5">
        <f t="shared" si="9"/>
        <v>10.56</v>
      </c>
      <c r="T53" s="5">
        <f t="shared" si="9"/>
        <v>8.13</v>
      </c>
      <c r="U53" s="5">
        <f t="shared" si="9"/>
        <v>5.68</v>
      </c>
      <c r="V53" s="5">
        <f t="shared" si="9"/>
        <v>5.32</v>
      </c>
      <c r="W53" s="5">
        <f t="shared" si="9"/>
        <v>4.25</v>
      </c>
      <c r="X53" s="5">
        <f t="shared" si="9"/>
        <v>3.7</v>
      </c>
      <c r="Y53" s="5">
        <f t="shared" si="9"/>
        <v>3.13</v>
      </c>
      <c r="Z53" s="5">
        <f t="shared" si="9"/>
        <v>3.05</v>
      </c>
      <c r="AA53" s="5">
        <f t="shared" si="9"/>
        <v>2.69</v>
      </c>
      <c r="AB53" s="5">
        <f t="shared" si="9"/>
        <v>2.18</v>
      </c>
      <c r="AC53" s="5">
        <f t="shared" si="9"/>
        <v>1.75</v>
      </c>
      <c r="AD53" s="5">
        <f t="shared" si="9"/>
        <v>1.68</v>
      </c>
      <c r="AE53" s="5">
        <f t="shared" si="9"/>
        <v>1.4</v>
      </c>
      <c r="AF53" s="5">
        <f t="shared" si="9"/>
        <v>1.32</v>
      </c>
      <c r="AG53" s="5">
        <f t="shared" si="9"/>
        <v>1.26</v>
      </c>
      <c r="AH53" s="5">
        <f t="shared" si="8"/>
        <v>1.04</v>
      </c>
      <c r="AI53" s="5">
        <f t="shared" si="8"/>
        <v>0.91</v>
      </c>
      <c r="AJ53" s="5">
        <f t="shared" si="8"/>
        <v>0.85</v>
      </c>
    </row>
    <row r="54" spans="1:36">
      <c r="A54" t="str">
        <f>"primary_archetype_"&amp;TEXT(ROUND(Table213[[#This Row],[2016]],1),"0.0")</f>
        <v>primary_archetype_25.1</v>
      </c>
      <c r="B54" s="5">
        <f t="shared" si="2"/>
        <v>25.1</v>
      </c>
      <c r="C54" s="5">
        <f t="shared" si="10"/>
        <v>25.1</v>
      </c>
      <c r="D54" s="5">
        <f t="shared" si="10"/>
        <v>25.1</v>
      </c>
      <c r="E54" s="5">
        <f t="shared" si="10"/>
        <v>24.62</v>
      </c>
      <c r="F54" s="5">
        <f t="shared" si="10"/>
        <v>23.47</v>
      </c>
      <c r="G54" s="5">
        <f t="shared" si="10"/>
        <v>23.63</v>
      </c>
      <c r="H54" s="5">
        <f t="shared" si="10"/>
        <v>23.13</v>
      </c>
      <c r="I54" s="5">
        <f t="shared" si="10"/>
        <v>22.17</v>
      </c>
      <c r="J54" s="5">
        <f t="shared" si="10"/>
        <v>21.62</v>
      </c>
      <c r="K54" s="5">
        <f t="shared" si="10"/>
        <v>21.07</v>
      </c>
      <c r="L54" s="5">
        <f t="shared" si="10"/>
        <v>20.19</v>
      </c>
      <c r="M54" s="5">
        <f t="shared" si="10"/>
        <v>20.08</v>
      </c>
      <c r="N54" s="5">
        <f t="shared" si="10"/>
        <v>19.36</v>
      </c>
      <c r="O54" s="5">
        <f t="shared" si="10"/>
        <v>18.61</v>
      </c>
      <c r="P54" s="5">
        <f t="shared" si="10"/>
        <v>17.72</v>
      </c>
      <c r="Q54" s="5">
        <f t="shared" si="10"/>
        <v>15.13</v>
      </c>
      <c r="R54" s="5">
        <f t="shared" si="10"/>
        <v>11.64</v>
      </c>
      <c r="S54" s="5">
        <f t="shared" si="9"/>
        <v>10.52</v>
      </c>
      <c r="T54" s="5">
        <f t="shared" si="9"/>
        <v>8.1</v>
      </c>
      <c r="U54" s="5">
        <f t="shared" si="9"/>
        <v>5.66</v>
      </c>
      <c r="V54" s="5">
        <f t="shared" si="9"/>
        <v>5.3</v>
      </c>
      <c r="W54" s="5">
        <f t="shared" si="9"/>
        <v>4.23</v>
      </c>
      <c r="X54" s="5">
        <f t="shared" si="9"/>
        <v>3.69</v>
      </c>
      <c r="Y54" s="5">
        <f t="shared" si="9"/>
        <v>3.13</v>
      </c>
      <c r="Z54" s="5">
        <f t="shared" si="9"/>
        <v>3.04</v>
      </c>
      <c r="AA54" s="5">
        <f t="shared" si="9"/>
        <v>2.69</v>
      </c>
      <c r="AB54" s="5">
        <f t="shared" si="9"/>
        <v>2.17</v>
      </c>
      <c r="AC54" s="5">
        <f t="shared" si="9"/>
        <v>1.75</v>
      </c>
      <c r="AD54" s="5">
        <f t="shared" si="9"/>
        <v>1.68</v>
      </c>
      <c r="AE54" s="5">
        <f t="shared" si="9"/>
        <v>1.4</v>
      </c>
      <c r="AF54" s="5">
        <f t="shared" si="9"/>
        <v>1.32</v>
      </c>
      <c r="AG54" s="5">
        <f t="shared" si="9"/>
        <v>1.26</v>
      </c>
      <c r="AH54" s="5">
        <f t="shared" si="8"/>
        <v>1.04</v>
      </c>
      <c r="AI54" s="5">
        <f t="shared" si="8"/>
        <v>0.91</v>
      </c>
      <c r="AJ54" s="5">
        <f t="shared" si="8"/>
        <v>0.85</v>
      </c>
    </row>
    <row r="55" spans="1:36">
      <c r="A55" t="str">
        <f>"primary_archetype_"&amp;TEXT(ROUND(Table213[[#This Row],[2016]],1),"0.0")</f>
        <v>primary_archetype_25.0</v>
      </c>
      <c r="B55" s="5">
        <f t="shared" si="2"/>
        <v>25</v>
      </c>
      <c r="C55" s="5">
        <f t="shared" si="10"/>
        <v>25</v>
      </c>
      <c r="D55" s="5">
        <f t="shared" si="10"/>
        <v>25</v>
      </c>
      <c r="E55" s="5">
        <f t="shared" si="10"/>
        <v>24.53</v>
      </c>
      <c r="F55" s="5">
        <f t="shared" si="10"/>
        <v>23.38</v>
      </c>
      <c r="G55" s="5">
        <f t="shared" si="10"/>
        <v>23.54</v>
      </c>
      <c r="H55" s="5">
        <f t="shared" si="10"/>
        <v>23.04</v>
      </c>
      <c r="I55" s="5">
        <f t="shared" si="10"/>
        <v>22.08</v>
      </c>
      <c r="J55" s="5">
        <f t="shared" si="10"/>
        <v>21.54</v>
      </c>
      <c r="K55" s="5">
        <f t="shared" si="10"/>
        <v>20.98</v>
      </c>
      <c r="L55" s="5">
        <f t="shared" si="10"/>
        <v>20.11</v>
      </c>
      <c r="M55" s="5">
        <f t="shared" si="10"/>
        <v>20</v>
      </c>
      <c r="N55" s="5">
        <f t="shared" si="10"/>
        <v>19.28</v>
      </c>
      <c r="O55" s="5">
        <f t="shared" si="10"/>
        <v>18.54</v>
      </c>
      <c r="P55" s="5">
        <f t="shared" si="10"/>
        <v>17.66</v>
      </c>
      <c r="Q55" s="5">
        <f t="shared" si="10"/>
        <v>15.08</v>
      </c>
      <c r="R55" s="5">
        <f t="shared" si="10"/>
        <v>11.59</v>
      </c>
      <c r="S55" s="5">
        <f t="shared" si="9"/>
        <v>10.48</v>
      </c>
      <c r="T55" s="5">
        <f t="shared" si="9"/>
        <v>8.07</v>
      </c>
      <c r="U55" s="5">
        <f t="shared" si="9"/>
        <v>5.64</v>
      </c>
      <c r="V55" s="5">
        <f t="shared" si="9"/>
        <v>5.29</v>
      </c>
      <c r="W55" s="5">
        <f t="shared" si="9"/>
        <v>4.22</v>
      </c>
      <c r="X55" s="5">
        <f t="shared" si="9"/>
        <v>3.68</v>
      </c>
      <c r="Y55" s="5">
        <f t="shared" si="9"/>
        <v>3.12</v>
      </c>
      <c r="Z55" s="5">
        <f t="shared" si="9"/>
        <v>3.03</v>
      </c>
      <c r="AA55" s="5">
        <f t="shared" si="9"/>
        <v>2.68</v>
      </c>
      <c r="AB55" s="5">
        <f t="shared" si="9"/>
        <v>2.17</v>
      </c>
      <c r="AC55" s="5">
        <f t="shared" si="9"/>
        <v>1.75</v>
      </c>
      <c r="AD55" s="5">
        <f t="shared" si="9"/>
        <v>1.68</v>
      </c>
      <c r="AE55" s="5">
        <f t="shared" si="9"/>
        <v>1.4</v>
      </c>
      <c r="AF55" s="5">
        <f t="shared" si="9"/>
        <v>1.32</v>
      </c>
      <c r="AG55" s="5">
        <f t="shared" si="9"/>
        <v>1.26</v>
      </c>
      <c r="AH55" s="5">
        <f t="shared" si="8"/>
        <v>1.04</v>
      </c>
      <c r="AI55" s="5">
        <f t="shared" si="8"/>
        <v>0.91</v>
      </c>
      <c r="AJ55" s="5">
        <f t="shared" si="8"/>
        <v>0.85</v>
      </c>
    </row>
    <row r="56" spans="1:36">
      <c r="A56" t="str">
        <f>"primary_archetype_"&amp;TEXT(ROUND(Table213[[#This Row],[2016]],1),"0.0")</f>
        <v>primary_archetype_24.9</v>
      </c>
      <c r="B56" s="5">
        <f t="shared" si="2"/>
        <v>24.9</v>
      </c>
      <c r="C56" s="5">
        <f t="shared" si="10"/>
        <v>24.9</v>
      </c>
      <c r="D56" s="5">
        <f t="shared" si="10"/>
        <v>24.9</v>
      </c>
      <c r="E56" s="5">
        <f t="shared" si="10"/>
        <v>24.43</v>
      </c>
      <c r="F56" s="5">
        <f t="shared" si="10"/>
        <v>23.29</v>
      </c>
      <c r="G56" s="5">
        <f t="shared" si="10"/>
        <v>23.45</v>
      </c>
      <c r="H56" s="5">
        <f t="shared" si="10"/>
        <v>22.95</v>
      </c>
      <c r="I56" s="5">
        <f t="shared" si="10"/>
        <v>21.99</v>
      </c>
      <c r="J56" s="5">
        <f t="shared" si="10"/>
        <v>21.45</v>
      </c>
      <c r="K56" s="5">
        <f t="shared" si="10"/>
        <v>20.9</v>
      </c>
      <c r="L56" s="5">
        <f t="shared" si="10"/>
        <v>20.03</v>
      </c>
      <c r="M56" s="5">
        <f t="shared" si="10"/>
        <v>19.92</v>
      </c>
      <c r="N56" s="5">
        <f t="shared" si="10"/>
        <v>19.21</v>
      </c>
      <c r="O56" s="5">
        <f t="shared" si="10"/>
        <v>18.46</v>
      </c>
      <c r="P56" s="5">
        <f t="shared" si="10"/>
        <v>17.59</v>
      </c>
      <c r="Q56" s="5">
        <f t="shared" si="10"/>
        <v>15.02</v>
      </c>
      <c r="R56" s="5">
        <f t="shared" si="10"/>
        <v>11.55</v>
      </c>
      <c r="S56" s="5">
        <f t="shared" si="9"/>
        <v>10.44</v>
      </c>
      <c r="T56" s="5">
        <f t="shared" si="9"/>
        <v>8.04</v>
      </c>
      <c r="U56" s="5">
        <f t="shared" si="9"/>
        <v>5.62</v>
      </c>
      <c r="V56" s="5">
        <f t="shared" si="9"/>
        <v>5.27</v>
      </c>
      <c r="W56" s="5">
        <f t="shared" si="9"/>
        <v>4.21</v>
      </c>
      <c r="X56" s="5">
        <f t="shared" si="9"/>
        <v>3.67</v>
      </c>
      <c r="Y56" s="5">
        <f t="shared" si="9"/>
        <v>3.11</v>
      </c>
      <c r="Z56" s="5">
        <f t="shared" si="9"/>
        <v>3.02</v>
      </c>
      <c r="AA56" s="5">
        <f t="shared" si="9"/>
        <v>2.67</v>
      </c>
      <c r="AB56" s="5">
        <f t="shared" si="9"/>
        <v>2.16</v>
      </c>
      <c r="AC56" s="5">
        <f t="shared" si="9"/>
        <v>1.75</v>
      </c>
      <c r="AD56" s="5">
        <f t="shared" si="9"/>
        <v>1.68</v>
      </c>
      <c r="AE56" s="5">
        <f t="shared" si="9"/>
        <v>1.39</v>
      </c>
      <c r="AF56" s="5">
        <f t="shared" si="9"/>
        <v>1.32</v>
      </c>
      <c r="AG56" s="5">
        <f t="shared" si="9"/>
        <v>1.26</v>
      </c>
      <c r="AH56" s="5">
        <f t="shared" si="8"/>
        <v>1.04</v>
      </c>
      <c r="AI56" s="5">
        <f t="shared" si="8"/>
        <v>0.91</v>
      </c>
      <c r="AJ56" s="5">
        <f t="shared" si="8"/>
        <v>0.85</v>
      </c>
    </row>
    <row r="57" spans="1:36">
      <c r="A57" t="str">
        <f>"primary_archetype_"&amp;TEXT(ROUND(Table213[[#This Row],[2016]],1),"0.0")</f>
        <v>primary_archetype_24.8</v>
      </c>
      <c r="B57" s="5">
        <f t="shared" si="2"/>
        <v>24.8</v>
      </c>
      <c r="C57" s="5">
        <f t="shared" si="10"/>
        <v>24.8</v>
      </c>
      <c r="D57" s="5">
        <f t="shared" si="10"/>
        <v>24.8</v>
      </c>
      <c r="E57" s="5">
        <f t="shared" si="10"/>
        <v>24.33</v>
      </c>
      <c r="F57" s="5">
        <f t="shared" si="10"/>
        <v>23.19</v>
      </c>
      <c r="G57" s="5">
        <f t="shared" si="10"/>
        <v>23.35</v>
      </c>
      <c r="H57" s="5">
        <f t="shared" si="10"/>
        <v>22.86</v>
      </c>
      <c r="I57" s="5">
        <f t="shared" si="10"/>
        <v>21.9</v>
      </c>
      <c r="J57" s="5">
        <f t="shared" si="10"/>
        <v>21.37</v>
      </c>
      <c r="K57" s="5">
        <f t="shared" si="10"/>
        <v>20.82</v>
      </c>
      <c r="L57" s="5">
        <f t="shared" si="10"/>
        <v>19.95</v>
      </c>
      <c r="M57" s="5">
        <f t="shared" si="10"/>
        <v>19.84</v>
      </c>
      <c r="N57" s="5">
        <f t="shared" si="10"/>
        <v>19.13</v>
      </c>
      <c r="O57" s="5">
        <f t="shared" si="10"/>
        <v>18.39</v>
      </c>
      <c r="P57" s="5">
        <f t="shared" si="10"/>
        <v>17.52</v>
      </c>
      <c r="Q57" s="5">
        <f t="shared" si="10"/>
        <v>14.96</v>
      </c>
      <c r="R57" s="5">
        <f t="shared" si="10"/>
        <v>11.51</v>
      </c>
      <c r="S57" s="5">
        <f t="shared" si="9"/>
        <v>10.4</v>
      </c>
      <c r="T57" s="5">
        <f t="shared" si="9"/>
        <v>8.01</v>
      </c>
      <c r="U57" s="5">
        <f t="shared" si="9"/>
        <v>5.6</v>
      </c>
      <c r="V57" s="5">
        <f t="shared" si="9"/>
        <v>5.25</v>
      </c>
      <c r="W57" s="5">
        <f t="shared" si="9"/>
        <v>4.19</v>
      </c>
      <c r="X57" s="5">
        <f t="shared" si="9"/>
        <v>3.66</v>
      </c>
      <c r="Y57" s="5">
        <f t="shared" si="9"/>
        <v>3.1</v>
      </c>
      <c r="Z57" s="5">
        <f t="shared" si="9"/>
        <v>3.01</v>
      </c>
      <c r="AA57" s="5">
        <f t="shared" si="9"/>
        <v>2.67</v>
      </c>
      <c r="AB57" s="5">
        <f t="shared" si="9"/>
        <v>2.16</v>
      </c>
      <c r="AC57" s="5">
        <f t="shared" si="9"/>
        <v>1.74</v>
      </c>
      <c r="AD57" s="5">
        <f t="shared" si="9"/>
        <v>1.67</v>
      </c>
      <c r="AE57" s="5">
        <f t="shared" si="9"/>
        <v>1.39</v>
      </c>
      <c r="AF57" s="5">
        <f t="shared" si="9"/>
        <v>1.32</v>
      </c>
      <c r="AG57" s="5">
        <f t="shared" si="9"/>
        <v>1.26</v>
      </c>
      <c r="AH57" s="5">
        <f t="shared" si="8"/>
        <v>1.04</v>
      </c>
      <c r="AI57" s="5">
        <f t="shared" si="8"/>
        <v>0.91</v>
      </c>
      <c r="AJ57" s="5">
        <f t="shared" si="8"/>
        <v>0.85</v>
      </c>
    </row>
    <row r="58" spans="1:36">
      <c r="A58" t="str">
        <f>"primary_archetype_"&amp;TEXT(ROUND(Table213[[#This Row],[2016]],1),"0.0")</f>
        <v>primary_archetype_24.7</v>
      </c>
      <c r="B58" s="5">
        <f t="shared" si="2"/>
        <v>24.7</v>
      </c>
      <c r="C58" s="5">
        <f t="shared" si="10"/>
        <v>24.7</v>
      </c>
      <c r="D58" s="5">
        <f t="shared" si="10"/>
        <v>24.7</v>
      </c>
      <c r="E58" s="5">
        <f t="shared" si="10"/>
        <v>24.23</v>
      </c>
      <c r="F58" s="5">
        <f t="shared" si="10"/>
        <v>23.1</v>
      </c>
      <c r="G58" s="5">
        <f t="shared" si="10"/>
        <v>23.26</v>
      </c>
      <c r="H58" s="5">
        <f t="shared" si="10"/>
        <v>22.77</v>
      </c>
      <c r="I58" s="5">
        <f t="shared" si="10"/>
        <v>21.82</v>
      </c>
      <c r="J58" s="5">
        <f t="shared" si="10"/>
        <v>21.28</v>
      </c>
      <c r="K58" s="5">
        <f t="shared" si="10"/>
        <v>20.73</v>
      </c>
      <c r="L58" s="5">
        <f t="shared" si="10"/>
        <v>19.87</v>
      </c>
      <c r="M58" s="5">
        <f t="shared" si="10"/>
        <v>19.76</v>
      </c>
      <c r="N58" s="5">
        <f t="shared" si="10"/>
        <v>19.05</v>
      </c>
      <c r="O58" s="5">
        <f t="shared" si="10"/>
        <v>18.32</v>
      </c>
      <c r="P58" s="5">
        <f t="shared" si="10"/>
        <v>17.45</v>
      </c>
      <c r="Q58" s="5">
        <f t="shared" si="10"/>
        <v>14.9</v>
      </c>
      <c r="R58" s="5">
        <f t="shared" si="10"/>
        <v>11.46</v>
      </c>
      <c r="S58" s="5">
        <f t="shared" si="9"/>
        <v>10.37</v>
      </c>
      <c r="T58" s="5">
        <f t="shared" si="9"/>
        <v>7.98</v>
      </c>
      <c r="U58" s="5">
        <f t="shared" si="9"/>
        <v>5.58</v>
      </c>
      <c r="V58" s="5">
        <f t="shared" si="9"/>
        <v>5.23</v>
      </c>
      <c r="W58" s="5">
        <f t="shared" si="9"/>
        <v>4.18</v>
      </c>
      <c r="X58" s="5">
        <f t="shared" si="9"/>
        <v>3.65</v>
      </c>
      <c r="Y58" s="5">
        <f t="shared" si="9"/>
        <v>3.09</v>
      </c>
      <c r="Z58" s="5">
        <f t="shared" si="9"/>
        <v>3</v>
      </c>
      <c r="AA58" s="5">
        <f t="shared" si="9"/>
        <v>2.66</v>
      </c>
      <c r="AB58" s="5">
        <f t="shared" si="9"/>
        <v>2.15</v>
      </c>
      <c r="AC58" s="5">
        <f t="shared" si="9"/>
        <v>1.74</v>
      </c>
      <c r="AD58" s="5">
        <f t="shared" si="9"/>
        <v>1.67</v>
      </c>
      <c r="AE58" s="5">
        <f t="shared" si="9"/>
        <v>1.39</v>
      </c>
      <c r="AF58" s="5">
        <f t="shared" si="9"/>
        <v>1.31</v>
      </c>
      <c r="AG58" s="5">
        <f t="shared" si="9"/>
        <v>1.26</v>
      </c>
      <c r="AH58" s="5">
        <f t="shared" si="8"/>
        <v>1.04</v>
      </c>
      <c r="AI58" s="5">
        <f t="shared" si="8"/>
        <v>0.91</v>
      </c>
      <c r="AJ58" s="5">
        <f t="shared" si="8"/>
        <v>0.85</v>
      </c>
    </row>
    <row r="59" spans="1:36">
      <c r="A59" t="str">
        <f>"primary_archetype_"&amp;TEXT(ROUND(Table213[[#This Row],[2016]],1),"0.0")</f>
        <v>primary_archetype_24.6</v>
      </c>
      <c r="B59" s="5">
        <f t="shared" si="2"/>
        <v>24.6</v>
      </c>
      <c r="C59" s="5">
        <f t="shared" si="10"/>
        <v>24.6</v>
      </c>
      <c r="D59" s="5">
        <f t="shared" si="10"/>
        <v>24.6</v>
      </c>
      <c r="E59" s="5">
        <f t="shared" si="10"/>
        <v>24.13</v>
      </c>
      <c r="F59" s="5">
        <f t="shared" si="10"/>
        <v>23.01</v>
      </c>
      <c r="G59" s="5">
        <f t="shared" si="10"/>
        <v>23.16</v>
      </c>
      <c r="H59" s="5">
        <f t="shared" si="10"/>
        <v>22.67</v>
      </c>
      <c r="I59" s="5">
        <f t="shared" si="10"/>
        <v>21.73</v>
      </c>
      <c r="J59" s="5">
        <f t="shared" si="10"/>
        <v>21.2</v>
      </c>
      <c r="K59" s="5">
        <f t="shared" si="10"/>
        <v>20.65</v>
      </c>
      <c r="L59" s="5">
        <f t="shared" si="10"/>
        <v>19.79</v>
      </c>
      <c r="M59" s="5">
        <f t="shared" si="10"/>
        <v>19.68</v>
      </c>
      <c r="N59" s="5">
        <f t="shared" si="10"/>
        <v>18.98</v>
      </c>
      <c r="O59" s="5">
        <f t="shared" si="10"/>
        <v>18.24</v>
      </c>
      <c r="P59" s="5">
        <f t="shared" si="10"/>
        <v>17.38</v>
      </c>
      <c r="Q59" s="5">
        <f t="shared" si="10"/>
        <v>14.84</v>
      </c>
      <c r="R59" s="5">
        <f t="shared" si="10"/>
        <v>11.42</v>
      </c>
      <c r="S59" s="5">
        <f t="shared" si="9"/>
        <v>10.33</v>
      </c>
      <c r="T59" s="5">
        <f t="shared" si="9"/>
        <v>7.95</v>
      </c>
      <c r="U59" s="5">
        <f t="shared" si="9"/>
        <v>5.56</v>
      </c>
      <c r="V59" s="5">
        <f t="shared" si="9"/>
        <v>5.21</v>
      </c>
      <c r="W59" s="5">
        <f t="shared" si="9"/>
        <v>4.17</v>
      </c>
      <c r="X59" s="5">
        <f t="shared" si="9"/>
        <v>3.64</v>
      </c>
      <c r="Y59" s="5">
        <f t="shared" si="9"/>
        <v>3.08</v>
      </c>
      <c r="Z59" s="5">
        <f t="shared" si="9"/>
        <v>3</v>
      </c>
      <c r="AA59" s="5">
        <f t="shared" si="9"/>
        <v>2.65</v>
      </c>
      <c r="AB59" s="5">
        <f t="shared" si="9"/>
        <v>2.15</v>
      </c>
      <c r="AC59" s="5">
        <f t="shared" si="9"/>
        <v>1.74</v>
      </c>
      <c r="AD59" s="5">
        <f t="shared" si="9"/>
        <v>1.67</v>
      </c>
      <c r="AE59" s="5">
        <f t="shared" si="9"/>
        <v>1.39</v>
      </c>
      <c r="AF59" s="5">
        <f t="shared" si="9"/>
        <v>1.31</v>
      </c>
      <c r="AG59" s="5">
        <f t="shared" si="9"/>
        <v>1.25</v>
      </c>
      <c r="AH59" s="5">
        <f t="shared" si="8"/>
        <v>1.04</v>
      </c>
      <c r="AI59" s="5">
        <f t="shared" si="8"/>
        <v>0.91</v>
      </c>
      <c r="AJ59" s="5">
        <f t="shared" si="8"/>
        <v>0.86</v>
      </c>
    </row>
    <row r="60" spans="1:36">
      <c r="A60" t="str">
        <f>"primary_archetype_"&amp;TEXT(ROUND(Table213[[#This Row],[2016]],1),"0.0")</f>
        <v>primary_archetype_24.5</v>
      </c>
      <c r="B60" s="5">
        <f t="shared" si="2"/>
        <v>24.5</v>
      </c>
      <c r="C60" s="5">
        <f t="shared" si="10"/>
        <v>24.5</v>
      </c>
      <c r="D60" s="5">
        <f t="shared" si="10"/>
        <v>24.5</v>
      </c>
      <c r="E60" s="5">
        <f t="shared" si="10"/>
        <v>24.04</v>
      </c>
      <c r="F60" s="5">
        <f t="shared" si="10"/>
        <v>22.91</v>
      </c>
      <c r="G60" s="5">
        <f t="shared" si="10"/>
        <v>23.07</v>
      </c>
      <c r="H60" s="5">
        <f t="shared" si="10"/>
        <v>22.58</v>
      </c>
      <c r="I60" s="5">
        <f t="shared" si="10"/>
        <v>21.64</v>
      </c>
      <c r="J60" s="5">
        <f t="shared" si="10"/>
        <v>21.11</v>
      </c>
      <c r="K60" s="5">
        <f t="shared" si="10"/>
        <v>20.57</v>
      </c>
      <c r="L60" s="5">
        <f t="shared" si="10"/>
        <v>19.71</v>
      </c>
      <c r="M60" s="5">
        <f t="shared" si="10"/>
        <v>19.6</v>
      </c>
      <c r="N60" s="5">
        <f t="shared" si="10"/>
        <v>18.9</v>
      </c>
      <c r="O60" s="5">
        <f t="shared" si="10"/>
        <v>18.17</v>
      </c>
      <c r="P60" s="5">
        <f t="shared" si="10"/>
        <v>17.31</v>
      </c>
      <c r="Q60" s="5">
        <f t="shared" si="10"/>
        <v>14.78</v>
      </c>
      <c r="R60" s="5">
        <f t="shared" ref="R60:AG75" si="11">MROUND((($B60-$AH$2)*((R$2-$AH$2)/($B$2-$AH$2)))+$AH$2,0.01)</f>
        <v>11.37</v>
      </c>
      <c r="S60" s="5">
        <f t="shared" si="11"/>
        <v>10.29</v>
      </c>
      <c r="T60" s="5">
        <f t="shared" si="11"/>
        <v>7.92</v>
      </c>
      <c r="U60" s="5">
        <f t="shared" si="11"/>
        <v>5.54</v>
      </c>
      <c r="V60" s="5">
        <f t="shared" si="11"/>
        <v>5.2</v>
      </c>
      <c r="W60" s="5">
        <f t="shared" si="11"/>
        <v>4.15</v>
      </c>
      <c r="X60" s="5">
        <f t="shared" si="11"/>
        <v>3.62</v>
      </c>
      <c r="Y60" s="5">
        <f t="shared" si="11"/>
        <v>3.07</v>
      </c>
      <c r="Z60" s="5">
        <f t="shared" si="11"/>
        <v>2.99</v>
      </c>
      <c r="AA60" s="5">
        <f t="shared" si="11"/>
        <v>2.64</v>
      </c>
      <c r="AB60" s="5">
        <f t="shared" si="11"/>
        <v>2.14</v>
      </c>
      <c r="AC60" s="5">
        <f t="shared" si="11"/>
        <v>1.73</v>
      </c>
      <c r="AD60" s="5">
        <f t="shared" si="11"/>
        <v>1.67</v>
      </c>
      <c r="AE60" s="5">
        <f t="shared" si="11"/>
        <v>1.39</v>
      </c>
      <c r="AF60" s="5">
        <f t="shared" si="11"/>
        <v>1.31</v>
      </c>
      <c r="AG60" s="5">
        <f t="shared" si="11"/>
        <v>1.25</v>
      </c>
      <c r="AH60" s="5">
        <f t="shared" si="8"/>
        <v>1.04</v>
      </c>
      <c r="AI60" s="5">
        <f t="shared" si="8"/>
        <v>0.91</v>
      </c>
      <c r="AJ60" s="5">
        <f t="shared" si="8"/>
        <v>0.86</v>
      </c>
    </row>
    <row r="61" spans="1:36">
      <c r="A61" t="str">
        <f>"primary_archetype_"&amp;TEXT(ROUND(Table213[[#This Row],[2016]],1),"0.0")</f>
        <v>primary_archetype_24.4</v>
      </c>
      <c r="B61" s="5">
        <f t="shared" si="2"/>
        <v>24.4</v>
      </c>
      <c r="C61" s="5">
        <f t="shared" ref="C61:R76" si="12">MROUND((($B61-$AH$2)*((C$2-$AH$2)/($B$2-$AH$2)))+$AH$2,0.01)</f>
        <v>24.4</v>
      </c>
      <c r="D61" s="5">
        <f t="shared" si="12"/>
        <v>24.4</v>
      </c>
      <c r="E61" s="5">
        <f t="shared" si="12"/>
        <v>23.94</v>
      </c>
      <c r="F61" s="5">
        <f t="shared" si="12"/>
        <v>22.82</v>
      </c>
      <c r="G61" s="5">
        <f t="shared" si="12"/>
        <v>22.98</v>
      </c>
      <c r="H61" s="5">
        <f t="shared" si="12"/>
        <v>22.49</v>
      </c>
      <c r="I61" s="5">
        <f t="shared" si="12"/>
        <v>21.55</v>
      </c>
      <c r="J61" s="5">
        <f t="shared" si="12"/>
        <v>21.03</v>
      </c>
      <c r="K61" s="5">
        <f t="shared" si="12"/>
        <v>20.48</v>
      </c>
      <c r="L61" s="5">
        <f t="shared" si="12"/>
        <v>19.63</v>
      </c>
      <c r="M61" s="5">
        <f t="shared" si="12"/>
        <v>19.53</v>
      </c>
      <c r="N61" s="5">
        <f t="shared" si="12"/>
        <v>18.82</v>
      </c>
      <c r="O61" s="5">
        <f t="shared" si="12"/>
        <v>18.1</v>
      </c>
      <c r="P61" s="5">
        <f t="shared" si="12"/>
        <v>17.24</v>
      </c>
      <c r="Q61" s="5">
        <f t="shared" si="12"/>
        <v>14.72</v>
      </c>
      <c r="R61" s="5">
        <f t="shared" si="12"/>
        <v>11.33</v>
      </c>
      <c r="S61" s="5">
        <f t="shared" si="11"/>
        <v>10.25</v>
      </c>
      <c r="T61" s="5">
        <f t="shared" si="11"/>
        <v>7.89</v>
      </c>
      <c r="U61" s="5">
        <f t="shared" si="11"/>
        <v>5.52</v>
      </c>
      <c r="V61" s="5">
        <f t="shared" si="11"/>
        <v>5.18</v>
      </c>
      <c r="W61" s="5">
        <f t="shared" si="11"/>
        <v>4.14</v>
      </c>
      <c r="X61" s="5">
        <f t="shared" si="11"/>
        <v>3.61</v>
      </c>
      <c r="Y61" s="5">
        <f t="shared" si="11"/>
        <v>3.07</v>
      </c>
      <c r="Z61" s="5">
        <f t="shared" si="11"/>
        <v>2.98</v>
      </c>
      <c r="AA61" s="5">
        <f t="shared" si="11"/>
        <v>2.64</v>
      </c>
      <c r="AB61" s="5">
        <f t="shared" si="11"/>
        <v>2.14</v>
      </c>
      <c r="AC61" s="5">
        <f t="shared" si="11"/>
        <v>1.73</v>
      </c>
      <c r="AD61" s="5">
        <f t="shared" si="11"/>
        <v>1.66</v>
      </c>
      <c r="AE61" s="5">
        <f t="shared" si="11"/>
        <v>1.39</v>
      </c>
      <c r="AF61" s="5">
        <f t="shared" si="11"/>
        <v>1.31</v>
      </c>
      <c r="AG61" s="5">
        <f t="shared" si="11"/>
        <v>1.25</v>
      </c>
      <c r="AH61" s="5">
        <f t="shared" si="8"/>
        <v>1.04</v>
      </c>
      <c r="AI61" s="5">
        <f t="shared" si="8"/>
        <v>0.91</v>
      </c>
      <c r="AJ61" s="5">
        <f t="shared" si="8"/>
        <v>0.86</v>
      </c>
    </row>
    <row r="62" spans="1:36">
      <c r="A62" t="str">
        <f>"primary_archetype_"&amp;TEXT(ROUND(Table213[[#This Row],[2016]],1),"0.0")</f>
        <v>primary_archetype_24.3</v>
      </c>
      <c r="B62" s="5">
        <f t="shared" si="2"/>
        <v>24.3</v>
      </c>
      <c r="C62" s="5">
        <f t="shared" si="12"/>
        <v>24.3</v>
      </c>
      <c r="D62" s="5">
        <f t="shared" si="12"/>
        <v>24.3</v>
      </c>
      <c r="E62" s="5">
        <f t="shared" si="12"/>
        <v>23.84</v>
      </c>
      <c r="F62" s="5">
        <f t="shared" si="12"/>
        <v>22.73</v>
      </c>
      <c r="G62" s="5">
        <f t="shared" si="12"/>
        <v>22.88</v>
      </c>
      <c r="H62" s="5">
        <f t="shared" si="12"/>
        <v>22.4</v>
      </c>
      <c r="I62" s="5">
        <f t="shared" si="12"/>
        <v>21.46</v>
      </c>
      <c r="J62" s="5">
        <f t="shared" si="12"/>
        <v>20.94</v>
      </c>
      <c r="K62" s="5">
        <f t="shared" si="12"/>
        <v>20.4</v>
      </c>
      <c r="L62" s="5">
        <f t="shared" si="12"/>
        <v>19.55</v>
      </c>
      <c r="M62" s="5">
        <f t="shared" si="12"/>
        <v>19.45</v>
      </c>
      <c r="N62" s="5">
        <f t="shared" si="12"/>
        <v>18.75</v>
      </c>
      <c r="O62" s="5">
        <f t="shared" si="12"/>
        <v>18.03</v>
      </c>
      <c r="P62" s="5">
        <f t="shared" si="12"/>
        <v>17.17</v>
      </c>
      <c r="Q62" s="5">
        <f t="shared" si="12"/>
        <v>14.66</v>
      </c>
      <c r="R62" s="5">
        <f t="shared" si="12"/>
        <v>11.29</v>
      </c>
      <c r="S62" s="5">
        <f t="shared" si="11"/>
        <v>10.21</v>
      </c>
      <c r="T62" s="5">
        <f t="shared" si="11"/>
        <v>7.86</v>
      </c>
      <c r="U62" s="5">
        <f t="shared" si="11"/>
        <v>5.5</v>
      </c>
      <c r="V62" s="5">
        <f t="shared" si="11"/>
        <v>5.16</v>
      </c>
      <c r="W62" s="5">
        <f t="shared" si="11"/>
        <v>4.13</v>
      </c>
      <c r="X62" s="5">
        <f t="shared" si="11"/>
        <v>3.6</v>
      </c>
      <c r="Y62" s="5">
        <f t="shared" si="11"/>
        <v>3.06</v>
      </c>
      <c r="Z62" s="5">
        <f t="shared" si="11"/>
        <v>2.97</v>
      </c>
      <c r="AA62" s="5">
        <f t="shared" si="11"/>
        <v>2.63</v>
      </c>
      <c r="AB62" s="5">
        <f t="shared" si="11"/>
        <v>2.13</v>
      </c>
      <c r="AC62" s="5">
        <f t="shared" si="11"/>
        <v>1.73</v>
      </c>
      <c r="AD62" s="5">
        <f t="shared" si="11"/>
        <v>1.66</v>
      </c>
      <c r="AE62" s="5">
        <f t="shared" si="11"/>
        <v>1.39</v>
      </c>
      <c r="AF62" s="5">
        <f t="shared" si="11"/>
        <v>1.31</v>
      </c>
      <c r="AG62" s="5">
        <f t="shared" si="11"/>
        <v>1.25</v>
      </c>
      <c r="AH62" s="5">
        <f t="shared" si="8"/>
        <v>1.04</v>
      </c>
      <c r="AI62" s="5">
        <f t="shared" si="8"/>
        <v>0.92</v>
      </c>
      <c r="AJ62" s="5">
        <f t="shared" si="8"/>
        <v>0.86</v>
      </c>
    </row>
    <row r="63" spans="1:36">
      <c r="A63" t="str">
        <f>"primary_archetype_"&amp;TEXT(ROUND(Table213[[#This Row],[2016]],1),"0.0")</f>
        <v>primary_archetype_24.2</v>
      </c>
      <c r="B63" s="5">
        <f t="shared" si="2"/>
        <v>24.2</v>
      </c>
      <c r="C63" s="5">
        <f t="shared" si="12"/>
        <v>24.2</v>
      </c>
      <c r="D63" s="5">
        <f t="shared" si="12"/>
        <v>24.2</v>
      </c>
      <c r="E63" s="5">
        <f t="shared" si="12"/>
        <v>23.74</v>
      </c>
      <c r="F63" s="5">
        <f t="shared" si="12"/>
        <v>22.63</v>
      </c>
      <c r="G63" s="5">
        <f t="shared" si="12"/>
        <v>22.79</v>
      </c>
      <c r="H63" s="5">
        <f t="shared" si="12"/>
        <v>22.31</v>
      </c>
      <c r="I63" s="5">
        <f t="shared" si="12"/>
        <v>21.38</v>
      </c>
      <c r="J63" s="5">
        <f t="shared" si="12"/>
        <v>20.85</v>
      </c>
      <c r="K63" s="5">
        <f t="shared" si="12"/>
        <v>20.32</v>
      </c>
      <c r="L63" s="5">
        <f t="shared" si="12"/>
        <v>19.47</v>
      </c>
      <c r="M63" s="5">
        <f t="shared" si="12"/>
        <v>19.37</v>
      </c>
      <c r="N63" s="5">
        <f t="shared" si="12"/>
        <v>18.67</v>
      </c>
      <c r="O63" s="5">
        <f t="shared" si="12"/>
        <v>17.95</v>
      </c>
      <c r="P63" s="5">
        <f t="shared" si="12"/>
        <v>17.1</v>
      </c>
      <c r="Q63" s="5">
        <f t="shared" si="12"/>
        <v>14.61</v>
      </c>
      <c r="R63" s="5">
        <f t="shared" si="12"/>
        <v>11.24</v>
      </c>
      <c r="S63" s="5">
        <f t="shared" si="11"/>
        <v>10.17</v>
      </c>
      <c r="T63" s="5">
        <f t="shared" si="11"/>
        <v>7.84</v>
      </c>
      <c r="U63" s="5">
        <f t="shared" si="11"/>
        <v>5.48</v>
      </c>
      <c r="V63" s="5">
        <f t="shared" si="11"/>
        <v>5.14</v>
      </c>
      <c r="W63" s="5">
        <f t="shared" si="11"/>
        <v>4.11</v>
      </c>
      <c r="X63" s="5">
        <f t="shared" si="11"/>
        <v>3.59</v>
      </c>
      <c r="Y63" s="5">
        <f t="shared" si="11"/>
        <v>3.05</v>
      </c>
      <c r="Z63" s="5">
        <f t="shared" si="11"/>
        <v>2.96</v>
      </c>
      <c r="AA63" s="5">
        <f t="shared" si="11"/>
        <v>2.62</v>
      </c>
      <c r="AB63" s="5">
        <f t="shared" si="11"/>
        <v>2.13</v>
      </c>
      <c r="AC63" s="5">
        <f t="shared" si="11"/>
        <v>1.72</v>
      </c>
      <c r="AD63" s="5">
        <f t="shared" si="11"/>
        <v>1.66</v>
      </c>
      <c r="AE63" s="5">
        <f t="shared" si="11"/>
        <v>1.38</v>
      </c>
      <c r="AF63" s="5">
        <f t="shared" si="11"/>
        <v>1.31</v>
      </c>
      <c r="AG63" s="5">
        <f t="shared" si="11"/>
        <v>1.25</v>
      </c>
      <c r="AH63" s="5">
        <f t="shared" si="8"/>
        <v>1.04</v>
      </c>
      <c r="AI63" s="5">
        <f t="shared" si="8"/>
        <v>0.92</v>
      </c>
      <c r="AJ63" s="5">
        <f t="shared" si="8"/>
        <v>0.86</v>
      </c>
    </row>
    <row r="64" spans="1:36">
      <c r="A64" t="str">
        <f>"primary_archetype_"&amp;TEXT(ROUND(Table213[[#This Row],[2016]],1),"0.0")</f>
        <v>primary_archetype_24.1</v>
      </c>
      <c r="B64" s="5">
        <f t="shared" si="2"/>
        <v>24.1</v>
      </c>
      <c r="C64" s="5">
        <f t="shared" si="12"/>
        <v>24.1</v>
      </c>
      <c r="D64" s="5">
        <f t="shared" si="12"/>
        <v>24.1</v>
      </c>
      <c r="E64" s="5">
        <f t="shared" si="12"/>
        <v>23.64</v>
      </c>
      <c r="F64" s="5">
        <f t="shared" si="12"/>
        <v>22.54</v>
      </c>
      <c r="G64" s="5">
        <f t="shared" si="12"/>
        <v>22.69</v>
      </c>
      <c r="H64" s="5">
        <f t="shared" si="12"/>
        <v>22.22</v>
      </c>
      <c r="I64" s="5">
        <f t="shared" si="12"/>
        <v>21.29</v>
      </c>
      <c r="J64" s="5">
        <f t="shared" si="12"/>
        <v>20.77</v>
      </c>
      <c r="K64" s="5">
        <f t="shared" si="12"/>
        <v>20.23</v>
      </c>
      <c r="L64" s="5">
        <f t="shared" si="12"/>
        <v>19.39</v>
      </c>
      <c r="M64" s="5">
        <f t="shared" si="12"/>
        <v>19.29</v>
      </c>
      <c r="N64" s="5">
        <f t="shared" si="12"/>
        <v>18.6</v>
      </c>
      <c r="O64" s="5">
        <f t="shared" si="12"/>
        <v>17.88</v>
      </c>
      <c r="P64" s="5">
        <f t="shared" si="12"/>
        <v>17.03</v>
      </c>
      <c r="Q64" s="5">
        <f t="shared" si="12"/>
        <v>14.55</v>
      </c>
      <c r="R64" s="5">
        <f t="shared" si="12"/>
        <v>11.2</v>
      </c>
      <c r="S64" s="5">
        <f t="shared" si="11"/>
        <v>10.13</v>
      </c>
      <c r="T64" s="5">
        <f t="shared" si="11"/>
        <v>7.81</v>
      </c>
      <c r="U64" s="5">
        <f t="shared" si="11"/>
        <v>5.47</v>
      </c>
      <c r="V64" s="5">
        <f t="shared" si="11"/>
        <v>5.13</v>
      </c>
      <c r="W64" s="5">
        <f t="shared" si="11"/>
        <v>4.1</v>
      </c>
      <c r="X64" s="5">
        <f t="shared" si="11"/>
        <v>3.58</v>
      </c>
      <c r="Y64" s="5">
        <f t="shared" si="11"/>
        <v>3.04</v>
      </c>
      <c r="Z64" s="5">
        <f t="shared" si="11"/>
        <v>2.95</v>
      </c>
      <c r="AA64" s="5">
        <f t="shared" si="11"/>
        <v>2.62</v>
      </c>
      <c r="AB64" s="5">
        <f t="shared" si="11"/>
        <v>2.12</v>
      </c>
      <c r="AC64" s="5">
        <f t="shared" si="11"/>
        <v>1.72</v>
      </c>
      <c r="AD64" s="5">
        <f t="shared" si="11"/>
        <v>1.65</v>
      </c>
      <c r="AE64" s="5">
        <f t="shared" si="11"/>
        <v>1.38</v>
      </c>
      <c r="AF64" s="5">
        <f t="shared" si="11"/>
        <v>1.31</v>
      </c>
      <c r="AG64" s="5">
        <f t="shared" si="11"/>
        <v>1.25</v>
      </c>
      <c r="AH64" s="5">
        <f t="shared" si="8"/>
        <v>1.04</v>
      </c>
      <c r="AI64" s="5">
        <f t="shared" si="8"/>
        <v>0.92</v>
      </c>
      <c r="AJ64" s="5">
        <f t="shared" si="8"/>
        <v>0.86</v>
      </c>
    </row>
    <row r="65" spans="1:36">
      <c r="A65" t="str">
        <f>"primary_archetype_"&amp;TEXT(ROUND(Table213[[#This Row],[2016]],1),"0.0")</f>
        <v>primary_archetype_24.0</v>
      </c>
      <c r="B65" s="5">
        <f t="shared" si="2"/>
        <v>24</v>
      </c>
      <c r="C65" s="5">
        <f t="shared" si="12"/>
        <v>24</v>
      </c>
      <c r="D65" s="5">
        <f t="shared" si="12"/>
        <v>24</v>
      </c>
      <c r="E65" s="5">
        <f t="shared" si="12"/>
        <v>23.55</v>
      </c>
      <c r="F65" s="5">
        <f t="shared" si="12"/>
        <v>22.45</v>
      </c>
      <c r="G65" s="5">
        <f t="shared" si="12"/>
        <v>22.6</v>
      </c>
      <c r="H65" s="5">
        <f t="shared" si="12"/>
        <v>22.12</v>
      </c>
      <c r="I65" s="5">
        <f t="shared" si="12"/>
        <v>21.2</v>
      </c>
      <c r="J65" s="5">
        <f t="shared" si="12"/>
        <v>20.68</v>
      </c>
      <c r="K65" s="5">
        <f t="shared" si="12"/>
        <v>20.15</v>
      </c>
      <c r="L65" s="5">
        <f t="shared" si="12"/>
        <v>19.31</v>
      </c>
      <c r="M65" s="5">
        <f t="shared" si="12"/>
        <v>19.21</v>
      </c>
      <c r="N65" s="5">
        <f t="shared" si="12"/>
        <v>18.52</v>
      </c>
      <c r="O65" s="5">
        <f t="shared" si="12"/>
        <v>17.81</v>
      </c>
      <c r="P65" s="5">
        <f t="shared" si="12"/>
        <v>16.96</v>
      </c>
      <c r="Q65" s="5">
        <f t="shared" si="12"/>
        <v>14.49</v>
      </c>
      <c r="R65" s="5">
        <f t="shared" si="12"/>
        <v>11.15</v>
      </c>
      <c r="S65" s="5">
        <f t="shared" si="11"/>
        <v>10.09</v>
      </c>
      <c r="T65" s="5">
        <f t="shared" si="11"/>
        <v>7.78</v>
      </c>
      <c r="U65" s="5">
        <f t="shared" si="11"/>
        <v>5.45</v>
      </c>
      <c r="V65" s="5">
        <f t="shared" si="11"/>
        <v>5.11</v>
      </c>
      <c r="W65" s="5">
        <f t="shared" si="11"/>
        <v>4.09</v>
      </c>
      <c r="X65" s="5">
        <f t="shared" si="11"/>
        <v>3.57</v>
      </c>
      <c r="Y65" s="5">
        <f t="shared" si="11"/>
        <v>3.03</v>
      </c>
      <c r="Z65" s="5">
        <f t="shared" si="11"/>
        <v>2.95</v>
      </c>
      <c r="AA65" s="5">
        <f t="shared" si="11"/>
        <v>2.61</v>
      </c>
      <c r="AB65" s="5">
        <f t="shared" si="11"/>
        <v>2.12</v>
      </c>
      <c r="AC65" s="5">
        <f t="shared" si="11"/>
        <v>1.72</v>
      </c>
      <c r="AD65" s="5">
        <f t="shared" si="11"/>
        <v>1.65</v>
      </c>
      <c r="AE65" s="5">
        <f t="shared" si="11"/>
        <v>1.38</v>
      </c>
      <c r="AF65" s="5">
        <f t="shared" si="11"/>
        <v>1.31</v>
      </c>
      <c r="AG65" s="5">
        <f t="shared" si="11"/>
        <v>1.25</v>
      </c>
      <c r="AH65" s="5">
        <f t="shared" si="8"/>
        <v>1.04</v>
      </c>
      <c r="AI65" s="5">
        <f t="shared" si="8"/>
        <v>0.92</v>
      </c>
      <c r="AJ65" s="5">
        <f t="shared" si="8"/>
        <v>0.86</v>
      </c>
    </row>
    <row r="66" spans="1:36">
      <c r="A66" t="str">
        <f>"primary_archetype_"&amp;TEXT(ROUND(Table213[[#This Row],[2016]],1),"0.0")</f>
        <v>primary_archetype_23.9</v>
      </c>
      <c r="B66" s="5">
        <f t="shared" si="2"/>
        <v>23.9</v>
      </c>
      <c r="C66" s="5">
        <f t="shared" si="12"/>
        <v>23.9</v>
      </c>
      <c r="D66" s="5">
        <f t="shared" si="12"/>
        <v>23.9</v>
      </c>
      <c r="E66" s="5">
        <f t="shared" si="12"/>
        <v>23.45</v>
      </c>
      <c r="F66" s="5">
        <f t="shared" si="12"/>
        <v>22.35</v>
      </c>
      <c r="G66" s="5">
        <f t="shared" si="12"/>
        <v>22.51</v>
      </c>
      <c r="H66" s="5">
        <f t="shared" si="12"/>
        <v>22.03</v>
      </c>
      <c r="I66" s="5">
        <f t="shared" si="12"/>
        <v>21.11</v>
      </c>
      <c r="J66" s="5">
        <f t="shared" si="12"/>
        <v>20.6</v>
      </c>
      <c r="K66" s="5">
        <f t="shared" si="12"/>
        <v>20.07</v>
      </c>
      <c r="L66" s="5">
        <f t="shared" si="12"/>
        <v>19.23</v>
      </c>
      <c r="M66" s="5">
        <f t="shared" si="12"/>
        <v>19.13</v>
      </c>
      <c r="N66" s="5">
        <f t="shared" si="12"/>
        <v>18.44</v>
      </c>
      <c r="O66" s="5">
        <f t="shared" si="12"/>
        <v>17.73</v>
      </c>
      <c r="P66" s="5">
        <f t="shared" si="12"/>
        <v>16.89</v>
      </c>
      <c r="Q66" s="5">
        <f t="shared" si="12"/>
        <v>14.43</v>
      </c>
      <c r="R66" s="5">
        <f t="shared" si="12"/>
        <v>11.11</v>
      </c>
      <c r="S66" s="5">
        <f t="shared" si="11"/>
        <v>10.05</v>
      </c>
      <c r="T66" s="5">
        <f t="shared" si="11"/>
        <v>7.75</v>
      </c>
      <c r="U66" s="5">
        <f t="shared" si="11"/>
        <v>5.43</v>
      </c>
      <c r="V66" s="5">
        <f t="shared" si="11"/>
        <v>5.09</v>
      </c>
      <c r="W66" s="5">
        <f t="shared" si="11"/>
        <v>4.07</v>
      </c>
      <c r="X66" s="5">
        <f t="shared" si="11"/>
        <v>3.56</v>
      </c>
      <c r="Y66" s="5">
        <f t="shared" si="11"/>
        <v>3.02</v>
      </c>
      <c r="Z66" s="5">
        <f t="shared" si="11"/>
        <v>2.94</v>
      </c>
      <c r="AA66" s="5">
        <f t="shared" si="11"/>
        <v>2.6</v>
      </c>
      <c r="AB66" s="5">
        <f t="shared" si="11"/>
        <v>2.12</v>
      </c>
      <c r="AC66" s="5">
        <f t="shared" si="11"/>
        <v>1.72</v>
      </c>
      <c r="AD66" s="5">
        <f t="shared" si="11"/>
        <v>1.65</v>
      </c>
      <c r="AE66" s="5">
        <f t="shared" si="11"/>
        <v>1.38</v>
      </c>
      <c r="AF66" s="5">
        <f t="shared" si="11"/>
        <v>1.3</v>
      </c>
      <c r="AG66" s="5">
        <f t="shared" si="11"/>
        <v>1.25</v>
      </c>
      <c r="AH66" s="5">
        <f t="shared" si="8"/>
        <v>1.04</v>
      </c>
      <c r="AI66" s="5">
        <f t="shared" si="8"/>
        <v>0.92</v>
      </c>
      <c r="AJ66" s="5">
        <f t="shared" si="8"/>
        <v>0.86</v>
      </c>
    </row>
    <row r="67" spans="1:36">
      <c r="A67" t="str">
        <f>"primary_archetype_"&amp;TEXT(ROUND(Table213[[#This Row],[2016]],1),"0.0")</f>
        <v>primary_archetype_23.8</v>
      </c>
      <c r="B67" s="5">
        <f t="shared" si="2"/>
        <v>23.8</v>
      </c>
      <c r="C67" s="5">
        <f t="shared" si="12"/>
        <v>23.8</v>
      </c>
      <c r="D67" s="5">
        <f t="shared" si="12"/>
        <v>23.8</v>
      </c>
      <c r="E67" s="5">
        <f t="shared" si="12"/>
        <v>23.35</v>
      </c>
      <c r="F67" s="5">
        <f t="shared" si="12"/>
        <v>22.26</v>
      </c>
      <c r="G67" s="5">
        <f t="shared" si="12"/>
        <v>22.41</v>
      </c>
      <c r="H67" s="5">
        <f t="shared" si="12"/>
        <v>21.94</v>
      </c>
      <c r="I67" s="5">
        <f t="shared" si="12"/>
        <v>21.03</v>
      </c>
      <c r="J67" s="5">
        <f t="shared" si="12"/>
        <v>20.51</v>
      </c>
      <c r="K67" s="5">
        <f t="shared" si="12"/>
        <v>19.98</v>
      </c>
      <c r="L67" s="5">
        <f t="shared" si="12"/>
        <v>19.15</v>
      </c>
      <c r="M67" s="5">
        <f t="shared" si="12"/>
        <v>19.05</v>
      </c>
      <c r="N67" s="5">
        <f t="shared" si="12"/>
        <v>18.37</v>
      </c>
      <c r="O67" s="5">
        <f t="shared" si="12"/>
        <v>17.66</v>
      </c>
      <c r="P67" s="5">
        <f t="shared" si="12"/>
        <v>16.82</v>
      </c>
      <c r="Q67" s="5">
        <f t="shared" si="12"/>
        <v>14.37</v>
      </c>
      <c r="R67" s="5">
        <f t="shared" si="12"/>
        <v>11.07</v>
      </c>
      <c r="S67" s="5">
        <f t="shared" si="11"/>
        <v>10.01</v>
      </c>
      <c r="T67" s="5">
        <f t="shared" si="11"/>
        <v>7.72</v>
      </c>
      <c r="U67" s="5">
        <f t="shared" si="11"/>
        <v>5.41</v>
      </c>
      <c r="V67" s="5">
        <f t="shared" si="11"/>
        <v>5.07</v>
      </c>
      <c r="W67" s="5">
        <f t="shared" si="11"/>
        <v>4.06</v>
      </c>
      <c r="X67" s="5">
        <f t="shared" si="11"/>
        <v>3.55</v>
      </c>
      <c r="Y67" s="5">
        <f t="shared" si="11"/>
        <v>3.01</v>
      </c>
      <c r="Z67" s="5">
        <f t="shared" si="11"/>
        <v>2.93</v>
      </c>
      <c r="AA67" s="5">
        <f t="shared" si="11"/>
        <v>2.6</v>
      </c>
      <c r="AB67" s="5">
        <f t="shared" si="11"/>
        <v>2.11</v>
      </c>
      <c r="AC67" s="5">
        <f t="shared" si="11"/>
        <v>1.71</v>
      </c>
      <c r="AD67" s="5">
        <f t="shared" si="11"/>
        <v>1.65</v>
      </c>
      <c r="AE67" s="5">
        <f t="shared" si="11"/>
        <v>1.38</v>
      </c>
      <c r="AF67" s="5">
        <f t="shared" si="11"/>
        <v>1.3</v>
      </c>
      <c r="AG67" s="5">
        <f t="shared" si="11"/>
        <v>1.25</v>
      </c>
      <c r="AH67" s="5">
        <f t="shared" si="8"/>
        <v>1.04</v>
      </c>
      <c r="AI67" s="5">
        <f t="shared" si="8"/>
        <v>0.92</v>
      </c>
      <c r="AJ67" s="5">
        <f t="shared" si="8"/>
        <v>0.86</v>
      </c>
    </row>
    <row r="68" spans="1:36">
      <c r="A68" t="str">
        <f>"primary_archetype_"&amp;TEXT(ROUND(Table213[[#This Row],[2016]],1),"0.0")</f>
        <v>primary_archetype_23.7</v>
      </c>
      <c r="B68" s="5">
        <f t="shared" si="2"/>
        <v>23.7</v>
      </c>
      <c r="C68" s="5">
        <f t="shared" si="12"/>
        <v>23.7</v>
      </c>
      <c r="D68" s="5">
        <f t="shared" si="12"/>
        <v>23.7</v>
      </c>
      <c r="E68" s="5">
        <f t="shared" si="12"/>
        <v>23.25</v>
      </c>
      <c r="F68" s="5">
        <f t="shared" si="12"/>
        <v>22.17</v>
      </c>
      <c r="G68" s="5">
        <f t="shared" si="12"/>
        <v>22.32</v>
      </c>
      <c r="H68" s="5">
        <f t="shared" si="12"/>
        <v>21.85</v>
      </c>
      <c r="I68" s="5">
        <f t="shared" si="12"/>
        <v>20.94</v>
      </c>
      <c r="J68" s="5">
        <f t="shared" si="12"/>
        <v>20.43</v>
      </c>
      <c r="K68" s="5">
        <f t="shared" si="12"/>
        <v>19.9</v>
      </c>
      <c r="L68" s="5">
        <f t="shared" si="12"/>
        <v>19.07</v>
      </c>
      <c r="M68" s="5">
        <f t="shared" si="12"/>
        <v>18.97</v>
      </c>
      <c r="N68" s="5">
        <f t="shared" si="12"/>
        <v>18.29</v>
      </c>
      <c r="O68" s="5">
        <f t="shared" si="12"/>
        <v>17.59</v>
      </c>
      <c r="P68" s="5">
        <f t="shared" si="12"/>
        <v>16.75</v>
      </c>
      <c r="Q68" s="5">
        <f t="shared" si="12"/>
        <v>14.31</v>
      </c>
      <c r="R68" s="5">
        <f t="shared" si="12"/>
        <v>11.02</v>
      </c>
      <c r="S68" s="5">
        <f t="shared" si="11"/>
        <v>9.97</v>
      </c>
      <c r="T68" s="5">
        <f t="shared" si="11"/>
        <v>7.69</v>
      </c>
      <c r="U68" s="5">
        <f t="shared" si="11"/>
        <v>5.39</v>
      </c>
      <c r="V68" s="5">
        <f t="shared" si="11"/>
        <v>5.05</v>
      </c>
      <c r="W68" s="5">
        <f t="shared" si="11"/>
        <v>4.05</v>
      </c>
      <c r="X68" s="5">
        <f t="shared" si="11"/>
        <v>3.54</v>
      </c>
      <c r="Y68" s="5">
        <f t="shared" si="11"/>
        <v>3</v>
      </c>
      <c r="Z68" s="5">
        <f t="shared" si="11"/>
        <v>2.92</v>
      </c>
      <c r="AA68" s="5">
        <f t="shared" si="11"/>
        <v>2.59</v>
      </c>
      <c r="AB68" s="5">
        <f t="shared" si="11"/>
        <v>2.11</v>
      </c>
      <c r="AC68" s="5">
        <f t="shared" si="11"/>
        <v>1.71</v>
      </c>
      <c r="AD68" s="5">
        <f t="shared" si="11"/>
        <v>1.64</v>
      </c>
      <c r="AE68" s="5">
        <f t="shared" si="11"/>
        <v>1.38</v>
      </c>
      <c r="AF68" s="5">
        <f t="shared" si="11"/>
        <v>1.3</v>
      </c>
      <c r="AG68" s="5">
        <f t="shared" si="11"/>
        <v>1.25</v>
      </c>
      <c r="AH68" s="5">
        <f t="shared" si="8"/>
        <v>1.04</v>
      </c>
      <c r="AI68" s="5">
        <f t="shared" si="8"/>
        <v>0.92</v>
      </c>
      <c r="AJ68" s="5">
        <f t="shared" si="8"/>
        <v>0.86</v>
      </c>
    </row>
    <row r="69" spans="1:36">
      <c r="A69" t="str">
        <f>"primary_archetype_"&amp;TEXT(ROUND(Table213[[#This Row],[2016]],1),"0.0")</f>
        <v>primary_archetype_23.6</v>
      </c>
      <c r="B69" s="5">
        <f t="shared" si="2"/>
        <v>23.6</v>
      </c>
      <c r="C69" s="5">
        <f t="shared" si="12"/>
        <v>23.6</v>
      </c>
      <c r="D69" s="5">
        <f t="shared" si="12"/>
        <v>23.6</v>
      </c>
      <c r="E69" s="5">
        <f t="shared" si="12"/>
        <v>23.15</v>
      </c>
      <c r="F69" s="5">
        <f t="shared" si="12"/>
        <v>22.07</v>
      </c>
      <c r="G69" s="5">
        <f t="shared" si="12"/>
        <v>22.22</v>
      </c>
      <c r="H69" s="5">
        <f t="shared" si="12"/>
        <v>21.76</v>
      </c>
      <c r="I69" s="5">
        <f t="shared" si="12"/>
        <v>20.85</v>
      </c>
      <c r="J69" s="5">
        <f t="shared" si="12"/>
        <v>20.34</v>
      </c>
      <c r="K69" s="5">
        <f t="shared" si="12"/>
        <v>19.82</v>
      </c>
      <c r="L69" s="5">
        <f t="shared" si="12"/>
        <v>18.99</v>
      </c>
      <c r="M69" s="5">
        <f t="shared" si="12"/>
        <v>18.89</v>
      </c>
      <c r="N69" s="5">
        <f t="shared" si="12"/>
        <v>18.22</v>
      </c>
      <c r="O69" s="5">
        <f t="shared" si="12"/>
        <v>17.51</v>
      </c>
      <c r="P69" s="5">
        <f t="shared" si="12"/>
        <v>16.68</v>
      </c>
      <c r="Q69" s="5">
        <f t="shared" si="12"/>
        <v>14.25</v>
      </c>
      <c r="R69" s="5">
        <f t="shared" si="12"/>
        <v>10.98</v>
      </c>
      <c r="S69" s="5">
        <f t="shared" si="11"/>
        <v>9.93</v>
      </c>
      <c r="T69" s="5">
        <f t="shared" si="11"/>
        <v>7.66</v>
      </c>
      <c r="U69" s="5">
        <f t="shared" si="11"/>
        <v>5.37</v>
      </c>
      <c r="V69" s="5">
        <f t="shared" si="11"/>
        <v>5.04</v>
      </c>
      <c r="W69" s="5">
        <f t="shared" si="11"/>
        <v>4.03</v>
      </c>
      <c r="X69" s="5">
        <f t="shared" si="11"/>
        <v>3.53</v>
      </c>
      <c r="Y69" s="5">
        <f t="shared" si="11"/>
        <v>3</v>
      </c>
      <c r="Z69" s="5">
        <f t="shared" si="11"/>
        <v>2.91</v>
      </c>
      <c r="AA69" s="5">
        <f t="shared" si="11"/>
        <v>2.58</v>
      </c>
      <c r="AB69" s="5">
        <f t="shared" si="11"/>
        <v>2.1</v>
      </c>
      <c r="AC69" s="5">
        <f t="shared" si="11"/>
        <v>1.71</v>
      </c>
      <c r="AD69" s="5">
        <f t="shared" si="11"/>
        <v>1.64</v>
      </c>
      <c r="AE69" s="5">
        <f t="shared" si="11"/>
        <v>1.38</v>
      </c>
      <c r="AF69" s="5">
        <f t="shared" si="11"/>
        <v>1.3</v>
      </c>
      <c r="AG69" s="5">
        <f t="shared" si="11"/>
        <v>1.25</v>
      </c>
      <c r="AH69" s="5">
        <f t="shared" si="8"/>
        <v>1.04</v>
      </c>
      <c r="AI69" s="5">
        <f t="shared" si="8"/>
        <v>0.92</v>
      </c>
      <c r="AJ69" s="5">
        <f t="shared" si="8"/>
        <v>0.86</v>
      </c>
    </row>
    <row r="70" spans="1:36">
      <c r="A70" t="str">
        <f>"primary_archetype_"&amp;TEXT(ROUND(Table213[[#This Row],[2016]],1),"0.0")</f>
        <v>primary_archetype_23.5</v>
      </c>
      <c r="B70" s="5">
        <f t="shared" si="2"/>
        <v>23.5</v>
      </c>
      <c r="C70" s="5">
        <f t="shared" si="12"/>
        <v>23.5</v>
      </c>
      <c r="D70" s="5">
        <f t="shared" si="12"/>
        <v>23.5</v>
      </c>
      <c r="E70" s="5">
        <f t="shared" si="12"/>
        <v>23.06</v>
      </c>
      <c r="F70" s="5">
        <f t="shared" si="12"/>
        <v>21.98</v>
      </c>
      <c r="G70" s="5">
        <f t="shared" si="12"/>
        <v>22.13</v>
      </c>
      <c r="H70" s="5">
        <f t="shared" si="12"/>
        <v>21.66</v>
      </c>
      <c r="I70" s="5">
        <f t="shared" si="12"/>
        <v>20.76</v>
      </c>
      <c r="J70" s="5">
        <f t="shared" si="12"/>
        <v>20.26</v>
      </c>
      <c r="K70" s="5">
        <f t="shared" si="12"/>
        <v>19.73</v>
      </c>
      <c r="L70" s="5">
        <f t="shared" si="12"/>
        <v>18.91</v>
      </c>
      <c r="M70" s="5">
        <f t="shared" si="12"/>
        <v>18.81</v>
      </c>
      <c r="N70" s="5">
        <f t="shared" si="12"/>
        <v>18.14</v>
      </c>
      <c r="O70" s="5">
        <f t="shared" si="12"/>
        <v>17.44</v>
      </c>
      <c r="P70" s="5">
        <f t="shared" si="12"/>
        <v>16.62</v>
      </c>
      <c r="Q70" s="5">
        <f t="shared" si="12"/>
        <v>14.2</v>
      </c>
      <c r="R70" s="5">
        <f t="shared" si="12"/>
        <v>10.93</v>
      </c>
      <c r="S70" s="5">
        <f t="shared" si="11"/>
        <v>9.89</v>
      </c>
      <c r="T70" s="5">
        <f t="shared" si="11"/>
        <v>7.63</v>
      </c>
      <c r="U70" s="5">
        <f t="shared" si="11"/>
        <v>5.35</v>
      </c>
      <c r="V70" s="5">
        <f t="shared" si="11"/>
        <v>5.02</v>
      </c>
      <c r="W70" s="5">
        <f t="shared" si="11"/>
        <v>4.02</v>
      </c>
      <c r="X70" s="5">
        <f t="shared" si="11"/>
        <v>3.51</v>
      </c>
      <c r="Y70" s="5">
        <f t="shared" si="11"/>
        <v>2.99</v>
      </c>
      <c r="Z70" s="5">
        <f t="shared" si="11"/>
        <v>2.9</v>
      </c>
      <c r="AA70" s="5">
        <f t="shared" si="11"/>
        <v>2.58</v>
      </c>
      <c r="AB70" s="5">
        <f t="shared" si="11"/>
        <v>2.1</v>
      </c>
      <c r="AC70" s="5">
        <f t="shared" si="11"/>
        <v>1.7</v>
      </c>
      <c r="AD70" s="5">
        <f t="shared" si="11"/>
        <v>1.64</v>
      </c>
      <c r="AE70" s="5">
        <f t="shared" si="11"/>
        <v>1.37</v>
      </c>
      <c r="AF70" s="5">
        <f t="shared" si="11"/>
        <v>1.3</v>
      </c>
      <c r="AG70" s="5">
        <f t="shared" si="11"/>
        <v>1.24</v>
      </c>
      <c r="AH70" s="5">
        <f t="shared" si="8"/>
        <v>1.04</v>
      </c>
      <c r="AI70" s="5">
        <f t="shared" si="8"/>
        <v>0.92</v>
      </c>
      <c r="AJ70" s="5">
        <f t="shared" si="8"/>
        <v>0.86</v>
      </c>
    </row>
    <row r="71" spans="1:36">
      <c r="A71" t="str">
        <f>"primary_archetype_"&amp;TEXT(ROUND(Table213[[#This Row],[2016]],1),"0.0")</f>
        <v>primary_archetype_23.4</v>
      </c>
      <c r="B71" s="5">
        <f t="shared" ref="B71:B134" si="13">MROUND(B70-0.1,0.1)</f>
        <v>23.4</v>
      </c>
      <c r="C71" s="5">
        <f t="shared" si="12"/>
        <v>23.4</v>
      </c>
      <c r="D71" s="5">
        <f t="shared" si="12"/>
        <v>23.4</v>
      </c>
      <c r="E71" s="5">
        <f t="shared" si="12"/>
        <v>22.96</v>
      </c>
      <c r="F71" s="5">
        <f t="shared" si="12"/>
        <v>21.89</v>
      </c>
      <c r="G71" s="5">
        <f t="shared" si="12"/>
        <v>22.04</v>
      </c>
      <c r="H71" s="5">
        <f t="shared" si="12"/>
        <v>21.57</v>
      </c>
      <c r="I71" s="5">
        <f t="shared" si="12"/>
        <v>20.67</v>
      </c>
      <c r="J71" s="5">
        <f t="shared" si="12"/>
        <v>20.17</v>
      </c>
      <c r="K71" s="5">
        <f t="shared" si="12"/>
        <v>19.65</v>
      </c>
      <c r="L71" s="5">
        <f t="shared" si="12"/>
        <v>18.83</v>
      </c>
      <c r="M71" s="5">
        <f t="shared" si="12"/>
        <v>18.73</v>
      </c>
      <c r="N71" s="5">
        <f t="shared" si="12"/>
        <v>18.06</v>
      </c>
      <c r="O71" s="5">
        <f t="shared" si="12"/>
        <v>17.37</v>
      </c>
      <c r="P71" s="5">
        <f t="shared" si="12"/>
        <v>16.55</v>
      </c>
      <c r="Q71" s="5">
        <f t="shared" si="12"/>
        <v>14.14</v>
      </c>
      <c r="R71" s="5">
        <f t="shared" si="12"/>
        <v>10.89</v>
      </c>
      <c r="S71" s="5">
        <f t="shared" si="11"/>
        <v>9.85</v>
      </c>
      <c r="T71" s="5">
        <f t="shared" si="11"/>
        <v>7.6</v>
      </c>
      <c r="U71" s="5">
        <f t="shared" si="11"/>
        <v>5.33</v>
      </c>
      <c r="V71" s="5">
        <f t="shared" si="11"/>
        <v>5</v>
      </c>
      <c r="W71" s="5">
        <f t="shared" si="11"/>
        <v>4.01</v>
      </c>
      <c r="X71" s="5">
        <f t="shared" si="11"/>
        <v>3.5</v>
      </c>
      <c r="Y71" s="5">
        <f t="shared" si="11"/>
        <v>2.98</v>
      </c>
      <c r="Z71" s="5">
        <f t="shared" si="11"/>
        <v>2.9</v>
      </c>
      <c r="AA71" s="5">
        <f t="shared" si="11"/>
        <v>2.57</v>
      </c>
      <c r="AB71" s="5">
        <f t="shared" si="11"/>
        <v>2.09</v>
      </c>
      <c r="AC71" s="5">
        <f t="shared" si="11"/>
        <v>1.7</v>
      </c>
      <c r="AD71" s="5">
        <f t="shared" si="11"/>
        <v>1.64</v>
      </c>
      <c r="AE71" s="5">
        <f t="shared" si="11"/>
        <v>1.37</v>
      </c>
      <c r="AF71" s="5">
        <f t="shared" si="11"/>
        <v>1.3</v>
      </c>
      <c r="AG71" s="5">
        <f t="shared" si="11"/>
        <v>1.24</v>
      </c>
      <c r="AH71" s="5">
        <f t="shared" si="8"/>
        <v>1.04</v>
      </c>
      <c r="AI71" s="5">
        <f t="shared" si="8"/>
        <v>0.92</v>
      </c>
      <c r="AJ71" s="5">
        <f t="shared" si="8"/>
        <v>0.86</v>
      </c>
    </row>
    <row r="72" spans="1:36">
      <c r="A72" t="str">
        <f>"primary_archetype_"&amp;TEXT(ROUND(Table213[[#This Row],[2016]],1),"0.0")</f>
        <v>primary_archetype_23.3</v>
      </c>
      <c r="B72" s="5">
        <f t="shared" si="13"/>
        <v>23.3</v>
      </c>
      <c r="C72" s="5">
        <f t="shared" si="12"/>
        <v>23.3</v>
      </c>
      <c r="D72" s="5">
        <f t="shared" si="12"/>
        <v>23.3</v>
      </c>
      <c r="E72" s="5">
        <f t="shared" si="12"/>
        <v>22.86</v>
      </c>
      <c r="F72" s="5">
        <f t="shared" si="12"/>
        <v>21.79</v>
      </c>
      <c r="G72" s="5">
        <f t="shared" si="12"/>
        <v>21.94</v>
      </c>
      <c r="H72" s="5">
        <f t="shared" si="12"/>
        <v>21.48</v>
      </c>
      <c r="I72" s="5">
        <f t="shared" si="12"/>
        <v>20.59</v>
      </c>
      <c r="J72" s="5">
        <f t="shared" si="12"/>
        <v>20.08</v>
      </c>
      <c r="K72" s="5">
        <f t="shared" si="12"/>
        <v>19.57</v>
      </c>
      <c r="L72" s="5">
        <f t="shared" si="12"/>
        <v>18.75</v>
      </c>
      <c r="M72" s="5">
        <f t="shared" si="12"/>
        <v>18.65</v>
      </c>
      <c r="N72" s="5">
        <f t="shared" si="12"/>
        <v>17.99</v>
      </c>
      <c r="O72" s="5">
        <f t="shared" si="12"/>
        <v>17.29</v>
      </c>
      <c r="P72" s="5">
        <f t="shared" si="12"/>
        <v>16.48</v>
      </c>
      <c r="Q72" s="5">
        <f t="shared" si="12"/>
        <v>14.08</v>
      </c>
      <c r="R72" s="5">
        <f t="shared" si="12"/>
        <v>10.84</v>
      </c>
      <c r="S72" s="5">
        <f t="shared" si="11"/>
        <v>9.81</v>
      </c>
      <c r="T72" s="5">
        <f t="shared" si="11"/>
        <v>7.57</v>
      </c>
      <c r="U72" s="5">
        <f t="shared" si="11"/>
        <v>5.31</v>
      </c>
      <c r="V72" s="5">
        <f t="shared" si="11"/>
        <v>4.98</v>
      </c>
      <c r="W72" s="5">
        <f t="shared" si="11"/>
        <v>3.99</v>
      </c>
      <c r="X72" s="5">
        <f t="shared" si="11"/>
        <v>3.49</v>
      </c>
      <c r="Y72" s="5">
        <f t="shared" si="11"/>
        <v>2.97</v>
      </c>
      <c r="Z72" s="5">
        <f t="shared" si="11"/>
        <v>2.89</v>
      </c>
      <c r="AA72" s="5">
        <f t="shared" si="11"/>
        <v>2.56</v>
      </c>
      <c r="AB72" s="5">
        <f t="shared" si="11"/>
        <v>2.09</v>
      </c>
      <c r="AC72" s="5">
        <f t="shared" si="11"/>
        <v>1.7</v>
      </c>
      <c r="AD72" s="5">
        <f t="shared" si="11"/>
        <v>1.63</v>
      </c>
      <c r="AE72" s="5">
        <f t="shared" si="11"/>
        <v>1.37</v>
      </c>
      <c r="AF72" s="5">
        <f t="shared" si="11"/>
        <v>1.3</v>
      </c>
      <c r="AG72" s="5">
        <f t="shared" si="11"/>
        <v>1.24</v>
      </c>
      <c r="AH72" s="5">
        <f t="shared" si="8"/>
        <v>1.04</v>
      </c>
      <c r="AI72" s="5">
        <f t="shared" si="8"/>
        <v>0.92</v>
      </c>
      <c r="AJ72" s="5">
        <f t="shared" si="8"/>
        <v>0.87</v>
      </c>
    </row>
    <row r="73" spans="1:36">
      <c r="A73" t="str">
        <f>"primary_archetype_"&amp;TEXT(ROUND(Table213[[#This Row],[2016]],1),"0.0")</f>
        <v>primary_archetype_23.2</v>
      </c>
      <c r="B73" s="5">
        <f t="shared" si="13"/>
        <v>23.2</v>
      </c>
      <c r="C73" s="5">
        <f t="shared" si="12"/>
        <v>23.2</v>
      </c>
      <c r="D73" s="5">
        <f t="shared" si="12"/>
        <v>23.2</v>
      </c>
      <c r="E73" s="5">
        <f t="shared" si="12"/>
        <v>22.76</v>
      </c>
      <c r="F73" s="5">
        <f t="shared" si="12"/>
        <v>21.7</v>
      </c>
      <c r="G73" s="5">
        <f t="shared" si="12"/>
        <v>21.85</v>
      </c>
      <c r="H73" s="5">
        <f t="shared" si="12"/>
        <v>21.39</v>
      </c>
      <c r="I73" s="5">
        <f t="shared" si="12"/>
        <v>20.5</v>
      </c>
      <c r="J73" s="5">
        <f t="shared" si="12"/>
        <v>20</v>
      </c>
      <c r="K73" s="5">
        <f t="shared" si="12"/>
        <v>19.48</v>
      </c>
      <c r="L73" s="5">
        <f t="shared" si="12"/>
        <v>18.67</v>
      </c>
      <c r="M73" s="5">
        <f t="shared" si="12"/>
        <v>18.58</v>
      </c>
      <c r="N73" s="5">
        <f t="shared" si="12"/>
        <v>17.91</v>
      </c>
      <c r="O73" s="5">
        <f t="shared" si="12"/>
        <v>17.22</v>
      </c>
      <c r="P73" s="5">
        <f t="shared" si="12"/>
        <v>16.41</v>
      </c>
      <c r="Q73" s="5">
        <f t="shared" si="12"/>
        <v>14.02</v>
      </c>
      <c r="R73" s="5">
        <f t="shared" si="12"/>
        <v>10.8</v>
      </c>
      <c r="S73" s="5">
        <f t="shared" si="11"/>
        <v>9.77</v>
      </c>
      <c r="T73" s="5">
        <f t="shared" si="11"/>
        <v>7.54</v>
      </c>
      <c r="U73" s="5">
        <f t="shared" si="11"/>
        <v>5.29</v>
      </c>
      <c r="V73" s="5">
        <f t="shared" si="11"/>
        <v>4.97</v>
      </c>
      <c r="W73" s="5">
        <f t="shared" si="11"/>
        <v>3.98</v>
      </c>
      <c r="X73" s="5">
        <f t="shared" si="11"/>
        <v>3.48</v>
      </c>
      <c r="Y73" s="5">
        <f t="shared" si="11"/>
        <v>2.96</v>
      </c>
      <c r="Z73" s="5">
        <f t="shared" si="11"/>
        <v>2.88</v>
      </c>
      <c r="AA73" s="5">
        <f t="shared" si="11"/>
        <v>2.56</v>
      </c>
      <c r="AB73" s="5">
        <f t="shared" si="11"/>
        <v>2.08</v>
      </c>
      <c r="AC73" s="5">
        <f t="shared" si="11"/>
        <v>1.69</v>
      </c>
      <c r="AD73" s="5">
        <f t="shared" si="11"/>
        <v>1.63</v>
      </c>
      <c r="AE73" s="5">
        <f t="shared" si="11"/>
        <v>1.37</v>
      </c>
      <c r="AF73" s="5">
        <f t="shared" si="11"/>
        <v>1.3</v>
      </c>
      <c r="AG73" s="5">
        <f t="shared" si="11"/>
        <v>1.24</v>
      </c>
      <c r="AH73" s="5">
        <f t="shared" si="8"/>
        <v>1.04</v>
      </c>
      <c r="AI73" s="5">
        <f t="shared" si="8"/>
        <v>0.92</v>
      </c>
      <c r="AJ73" s="5">
        <f t="shared" si="8"/>
        <v>0.87</v>
      </c>
    </row>
    <row r="74" spans="1:36">
      <c r="A74" t="str">
        <f>"primary_archetype_"&amp;TEXT(ROUND(Table213[[#This Row],[2016]],1),"0.0")</f>
        <v>primary_archetype_23.1</v>
      </c>
      <c r="B74" s="5">
        <f t="shared" si="13"/>
        <v>23.1</v>
      </c>
      <c r="C74" s="5">
        <f t="shared" si="12"/>
        <v>23.1</v>
      </c>
      <c r="D74" s="5">
        <f t="shared" si="12"/>
        <v>23.1</v>
      </c>
      <c r="E74" s="5">
        <f t="shared" si="12"/>
        <v>22.66</v>
      </c>
      <c r="F74" s="5">
        <f t="shared" si="12"/>
        <v>21.61</v>
      </c>
      <c r="G74" s="5">
        <f t="shared" si="12"/>
        <v>21.76</v>
      </c>
      <c r="H74" s="5">
        <f t="shared" si="12"/>
        <v>21.3</v>
      </c>
      <c r="I74" s="5">
        <f t="shared" si="12"/>
        <v>20.41</v>
      </c>
      <c r="J74" s="5">
        <f t="shared" si="12"/>
        <v>19.91</v>
      </c>
      <c r="K74" s="5">
        <f t="shared" si="12"/>
        <v>19.4</v>
      </c>
      <c r="L74" s="5">
        <f t="shared" si="12"/>
        <v>18.59</v>
      </c>
      <c r="M74" s="5">
        <f t="shared" si="12"/>
        <v>18.5</v>
      </c>
      <c r="N74" s="5">
        <f t="shared" si="12"/>
        <v>17.83</v>
      </c>
      <c r="O74" s="5">
        <f t="shared" si="12"/>
        <v>17.15</v>
      </c>
      <c r="P74" s="5">
        <f t="shared" si="12"/>
        <v>16.34</v>
      </c>
      <c r="Q74" s="5">
        <f t="shared" si="12"/>
        <v>13.96</v>
      </c>
      <c r="R74" s="5">
        <f t="shared" si="12"/>
        <v>10.76</v>
      </c>
      <c r="S74" s="5">
        <f t="shared" si="11"/>
        <v>9.73</v>
      </c>
      <c r="T74" s="5">
        <f t="shared" si="11"/>
        <v>7.51</v>
      </c>
      <c r="U74" s="5">
        <f t="shared" si="11"/>
        <v>5.27</v>
      </c>
      <c r="V74" s="5">
        <f t="shared" si="11"/>
        <v>4.95</v>
      </c>
      <c r="W74" s="5">
        <f t="shared" si="11"/>
        <v>3.97</v>
      </c>
      <c r="X74" s="5">
        <f t="shared" si="11"/>
        <v>3.47</v>
      </c>
      <c r="Y74" s="5">
        <f t="shared" si="11"/>
        <v>2.95</v>
      </c>
      <c r="Z74" s="5">
        <f t="shared" si="11"/>
        <v>2.87</v>
      </c>
      <c r="AA74" s="5">
        <f t="shared" si="11"/>
        <v>2.55</v>
      </c>
      <c r="AB74" s="5">
        <f t="shared" si="11"/>
        <v>2.08</v>
      </c>
      <c r="AC74" s="5">
        <f t="shared" si="11"/>
        <v>1.69</v>
      </c>
      <c r="AD74" s="5">
        <f t="shared" si="11"/>
        <v>1.63</v>
      </c>
      <c r="AE74" s="5">
        <f t="shared" si="11"/>
        <v>1.37</v>
      </c>
      <c r="AF74" s="5">
        <f t="shared" si="11"/>
        <v>1.3</v>
      </c>
      <c r="AG74" s="5">
        <f t="shared" si="11"/>
        <v>1.24</v>
      </c>
      <c r="AH74" s="5">
        <f t="shared" si="8"/>
        <v>1.04</v>
      </c>
      <c r="AI74" s="5">
        <f t="shared" si="8"/>
        <v>0.92</v>
      </c>
      <c r="AJ74" s="5">
        <f t="shared" si="8"/>
        <v>0.87</v>
      </c>
    </row>
    <row r="75" spans="1:36">
      <c r="A75" t="str">
        <f>"primary_archetype_"&amp;TEXT(ROUND(Table213[[#This Row],[2016]],1),"0.0")</f>
        <v>primary_archetype_23.0</v>
      </c>
      <c r="B75" s="5">
        <f t="shared" si="13"/>
        <v>23</v>
      </c>
      <c r="C75" s="5">
        <f t="shared" si="12"/>
        <v>23</v>
      </c>
      <c r="D75" s="5">
        <f t="shared" si="12"/>
        <v>23</v>
      </c>
      <c r="E75" s="5">
        <f t="shared" si="12"/>
        <v>22.57</v>
      </c>
      <c r="F75" s="5">
        <f t="shared" si="12"/>
        <v>21.51</v>
      </c>
      <c r="G75" s="5">
        <f t="shared" si="12"/>
        <v>21.66</v>
      </c>
      <c r="H75" s="5">
        <f t="shared" si="12"/>
        <v>21.21</v>
      </c>
      <c r="I75" s="5">
        <f t="shared" si="12"/>
        <v>20.32</v>
      </c>
      <c r="J75" s="5">
        <f t="shared" si="12"/>
        <v>19.83</v>
      </c>
      <c r="K75" s="5">
        <f t="shared" si="12"/>
        <v>19.32</v>
      </c>
      <c r="L75" s="5">
        <f t="shared" si="12"/>
        <v>18.51</v>
      </c>
      <c r="M75" s="5">
        <f t="shared" si="12"/>
        <v>18.42</v>
      </c>
      <c r="N75" s="5">
        <f t="shared" si="12"/>
        <v>17.76</v>
      </c>
      <c r="O75" s="5">
        <f t="shared" si="12"/>
        <v>17.08</v>
      </c>
      <c r="P75" s="5">
        <f t="shared" si="12"/>
        <v>16.27</v>
      </c>
      <c r="Q75" s="5">
        <f t="shared" si="12"/>
        <v>13.9</v>
      </c>
      <c r="R75" s="5">
        <f t="shared" si="12"/>
        <v>10.71</v>
      </c>
      <c r="S75" s="5">
        <f t="shared" si="11"/>
        <v>9.7</v>
      </c>
      <c r="T75" s="5">
        <f t="shared" si="11"/>
        <v>7.48</v>
      </c>
      <c r="U75" s="5">
        <f t="shared" si="11"/>
        <v>5.25</v>
      </c>
      <c r="V75" s="5">
        <f t="shared" si="11"/>
        <v>4.93</v>
      </c>
      <c r="W75" s="5">
        <f t="shared" si="11"/>
        <v>3.95</v>
      </c>
      <c r="X75" s="5">
        <f t="shared" si="11"/>
        <v>3.46</v>
      </c>
      <c r="Y75" s="5">
        <f t="shared" si="11"/>
        <v>2.94</v>
      </c>
      <c r="Z75" s="5">
        <f t="shared" si="11"/>
        <v>2.86</v>
      </c>
      <c r="AA75" s="5">
        <f t="shared" si="11"/>
        <v>2.54</v>
      </c>
      <c r="AB75" s="5">
        <f t="shared" si="11"/>
        <v>2.07</v>
      </c>
      <c r="AC75" s="5">
        <f t="shared" si="11"/>
        <v>1.69</v>
      </c>
      <c r="AD75" s="5">
        <f t="shared" si="11"/>
        <v>1.63</v>
      </c>
      <c r="AE75" s="5">
        <f t="shared" si="11"/>
        <v>1.37</v>
      </c>
      <c r="AF75" s="5">
        <f t="shared" si="11"/>
        <v>1.29</v>
      </c>
      <c r="AG75" s="5">
        <f t="shared" si="11"/>
        <v>1.24</v>
      </c>
      <c r="AH75" s="5">
        <f t="shared" si="8"/>
        <v>1.04</v>
      </c>
      <c r="AI75" s="5">
        <f t="shared" si="8"/>
        <v>0.92</v>
      </c>
      <c r="AJ75" s="5">
        <f t="shared" si="8"/>
        <v>0.87</v>
      </c>
    </row>
    <row r="76" spans="1:36">
      <c r="A76" t="str">
        <f>"primary_archetype_"&amp;TEXT(ROUND(Table213[[#This Row],[2016]],1),"0.0")</f>
        <v>primary_archetype_22.9</v>
      </c>
      <c r="B76" s="5">
        <f t="shared" si="13"/>
        <v>22.9</v>
      </c>
      <c r="C76" s="5">
        <f t="shared" si="12"/>
        <v>22.9</v>
      </c>
      <c r="D76" s="5">
        <f t="shared" si="12"/>
        <v>22.9</v>
      </c>
      <c r="E76" s="5">
        <f t="shared" si="12"/>
        <v>22.47</v>
      </c>
      <c r="F76" s="5">
        <f t="shared" si="12"/>
        <v>21.42</v>
      </c>
      <c r="G76" s="5">
        <f t="shared" si="12"/>
        <v>21.57</v>
      </c>
      <c r="H76" s="5">
        <f t="shared" si="12"/>
        <v>21.11</v>
      </c>
      <c r="I76" s="5">
        <f t="shared" si="12"/>
        <v>20.24</v>
      </c>
      <c r="J76" s="5">
        <f t="shared" si="12"/>
        <v>19.74</v>
      </c>
      <c r="K76" s="5">
        <f t="shared" si="12"/>
        <v>19.24</v>
      </c>
      <c r="L76" s="5">
        <f t="shared" si="12"/>
        <v>18.44</v>
      </c>
      <c r="M76" s="5">
        <f t="shared" si="12"/>
        <v>18.34</v>
      </c>
      <c r="N76" s="5">
        <f t="shared" si="12"/>
        <v>17.68</v>
      </c>
      <c r="O76" s="5">
        <f t="shared" si="12"/>
        <v>17</v>
      </c>
      <c r="P76" s="5">
        <f t="shared" si="12"/>
        <v>16.2</v>
      </c>
      <c r="Q76" s="5">
        <f t="shared" si="12"/>
        <v>13.84</v>
      </c>
      <c r="R76" s="5">
        <f t="shared" ref="R76:AG91" si="14">MROUND((($B76-$AH$2)*((R$2-$AH$2)/($B$2-$AH$2)))+$AH$2,0.01)</f>
        <v>10.67</v>
      </c>
      <c r="S76" s="5">
        <f t="shared" si="14"/>
        <v>9.66</v>
      </c>
      <c r="T76" s="5">
        <f t="shared" si="14"/>
        <v>7.45</v>
      </c>
      <c r="U76" s="5">
        <f t="shared" si="14"/>
        <v>5.24</v>
      </c>
      <c r="V76" s="5">
        <f t="shared" si="14"/>
        <v>4.91</v>
      </c>
      <c r="W76" s="5">
        <f t="shared" si="14"/>
        <v>3.94</v>
      </c>
      <c r="X76" s="5">
        <f t="shared" si="14"/>
        <v>3.45</v>
      </c>
      <c r="Y76" s="5">
        <f t="shared" si="14"/>
        <v>2.94</v>
      </c>
      <c r="Z76" s="5">
        <f t="shared" si="14"/>
        <v>2.85</v>
      </c>
      <c r="AA76" s="5">
        <f t="shared" si="14"/>
        <v>2.54</v>
      </c>
      <c r="AB76" s="5">
        <f t="shared" si="14"/>
        <v>2.07</v>
      </c>
      <c r="AC76" s="5">
        <f t="shared" si="14"/>
        <v>1.69</v>
      </c>
      <c r="AD76" s="5">
        <f t="shared" si="14"/>
        <v>1.62</v>
      </c>
      <c r="AE76" s="5">
        <f t="shared" si="14"/>
        <v>1.36</v>
      </c>
      <c r="AF76" s="5">
        <f t="shared" si="14"/>
        <v>1.29</v>
      </c>
      <c r="AG76" s="5">
        <f t="shared" si="14"/>
        <v>1.24</v>
      </c>
      <c r="AH76" s="5">
        <f t="shared" si="8"/>
        <v>1.04</v>
      </c>
      <c r="AI76" s="5">
        <f t="shared" si="8"/>
        <v>0.92</v>
      </c>
      <c r="AJ76" s="5">
        <f t="shared" si="8"/>
        <v>0.87</v>
      </c>
    </row>
    <row r="77" spans="1:36">
      <c r="A77" t="str">
        <f>"primary_archetype_"&amp;TEXT(ROUND(Table213[[#This Row],[2016]],1),"0.0")</f>
        <v>primary_archetype_22.8</v>
      </c>
      <c r="B77" s="5">
        <f t="shared" si="13"/>
        <v>22.8</v>
      </c>
      <c r="C77" s="5">
        <f t="shared" ref="C77:R92" si="15">MROUND((($B77-$AH$2)*((C$2-$AH$2)/($B$2-$AH$2)))+$AH$2,0.01)</f>
        <v>22.8</v>
      </c>
      <c r="D77" s="5">
        <f t="shared" si="15"/>
        <v>22.8</v>
      </c>
      <c r="E77" s="5">
        <f t="shared" si="15"/>
        <v>22.37</v>
      </c>
      <c r="F77" s="5">
        <f t="shared" si="15"/>
        <v>21.33</v>
      </c>
      <c r="G77" s="5">
        <f t="shared" si="15"/>
        <v>21.47</v>
      </c>
      <c r="H77" s="5">
        <f t="shared" si="15"/>
        <v>21.02</v>
      </c>
      <c r="I77" s="5">
        <f t="shared" si="15"/>
        <v>20.15</v>
      </c>
      <c r="J77" s="5">
        <f t="shared" si="15"/>
        <v>19.66</v>
      </c>
      <c r="K77" s="5">
        <f t="shared" si="15"/>
        <v>19.15</v>
      </c>
      <c r="L77" s="5">
        <f t="shared" si="15"/>
        <v>18.36</v>
      </c>
      <c r="M77" s="5">
        <f t="shared" si="15"/>
        <v>18.26</v>
      </c>
      <c r="N77" s="5">
        <f t="shared" si="15"/>
        <v>17.61</v>
      </c>
      <c r="O77" s="5">
        <f t="shared" si="15"/>
        <v>16.93</v>
      </c>
      <c r="P77" s="5">
        <f t="shared" si="15"/>
        <v>16.13</v>
      </c>
      <c r="Q77" s="5">
        <f t="shared" si="15"/>
        <v>13.79</v>
      </c>
      <c r="R77" s="5">
        <f t="shared" si="15"/>
        <v>10.62</v>
      </c>
      <c r="S77" s="5">
        <f t="shared" si="14"/>
        <v>9.62</v>
      </c>
      <c r="T77" s="5">
        <f t="shared" si="14"/>
        <v>7.42</v>
      </c>
      <c r="U77" s="5">
        <f t="shared" si="14"/>
        <v>5.22</v>
      </c>
      <c r="V77" s="5">
        <f t="shared" si="14"/>
        <v>4.9</v>
      </c>
      <c r="W77" s="5">
        <f t="shared" si="14"/>
        <v>3.93</v>
      </c>
      <c r="X77" s="5">
        <f t="shared" si="14"/>
        <v>3.44</v>
      </c>
      <c r="Y77" s="5">
        <f t="shared" si="14"/>
        <v>2.93</v>
      </c>
      <c r="Z77" s="5">
        <f t="shared" si="14"/>
        <v>2.85</v>
      </c>
      <c r="AA77" s="5">
        <f t="shared" si="14"/>
        <v>2.53</v>
      </c>
      <c r="AB77" s="5">
        <f t="shared" si="14"/>
        <v>2.06</v>
      </c>
      <c r="AC77" s="5">
        <f t="shared" si="14"/>
        <v>1.68</v>
      </c>
      <c r="AD77" s="5">
        <f t="shared" si="14"/>
        <v>1.62</v>
      </c>
      <c r="AE77" s="5">
        <f t="shared" si="14"/>
        <v>1.36</v>
      </c>
      <c r="AF77" s="5">
        <f t="shared" si="14"/>
        <v>1.29</v>
      </c>
      <c r="AG77" s="5">
        <f t="shared" si="14"/>
        <v>1.24</v>
      </c>
      <c r="AH77" s="5">
        <f t="shared" si="8"/>
        <v>1.04</v>
      </c>
      <c r="AI77" s="5">
        <f t="shared" si="8"/>
        <v>0.92</v>
      </c>
      <c r="AJ77" s="5">
        <f t="shared" si="8"/>
        <v>0.87</v>
      </c>
    </row>
    <row r="78" spans="1:36">
      <c r="A78" t="str">
        <f>"primary_archetype_"&amp;TEXT(ROUND(Table213[[#This Row],[2016]],1),"0.0")</f>
        <v>primary_archetype_22.7</v>
      </c>
      <c r="B78" s="5">
        <f t="shared" si="13"/>
        <v>22.7</v>
      </c>
      <c r="C78" s="5">
        <f t="shared" si="15"/>
        <v>22.7</v>
      </c>
      <c r="D78" s="5">
        <f t="shared" si="15"/>
        <v>22.7</v>
      </c>
      <c r="E78" s="5">
        <f t="shared" si="15"/>
        <v>22.27</v>
      </c>
      <c r="F78" s="5">
        <f t="shared" si="15"/>
        <v>21.23</v>
      </c>
      <c r="G78" s="5">
        <f t="shared" si="15"/>
        <v>21.38</v>
      </c>
      <c r="H78" s="5">
        <f t="shared" si="15"/>
        <v>20.93</v>
      </c>
      <c r="I78" s="5">
        <f t="shared" si="15"/>
        <v>20.06</v>
      </c>
      <c r="J78" s="5">
        <f t="shared" si="15"/>
        <v>19.57</v>
      </c>
      <c r="K78" s="5">
        <f t="shared" si="15"/>
        <v>19.07</v>
      </c>
      <c r="L78" s="5">
        <f t="shared" si="15"/>
        <v>18.28</v>
      </c>
      <c r="M78" s="5">
        <f t="shared" si="15"/>
        <v>18.18</v>
      </c>
      <c r="N78" s="5">
        <f t="shared" si="15"/>
        <v>17.53</v>
      </c>
      <c r="O78" s="5">
        <f t="shared" si="15"/>
        <v>16.86</v>
      </c>
      <c r="P78" s="5">
        <f t="shared" si="15"/>
        <v>16.06</v>
      </c>
      <c r="Q78" s="5">
        <f t="shared" si="15"/>
        <v>13.73</v>
      </c>
      <c r="R78" s="5">
        <f t="shared" si="15"/>
        <v>10.58</v>
      </c>
      <c r="S78" s="5">
        <f t="shared" si="14"/>
        <v>9.58</v>
      </c>
      <c r="T78" s="5">
        <f t="shared" si="14"/>
        <v>7.4</v>
      </c>
      <c r="U78" s="5">
        <f t="shared" si="14"/>
        <v>5.2</v>
      </c>
      <c r="V78" s="5">
        <f t="shared" si="14"/>
        <v>4.88</v>
      </c>
      <c r="W78" s="5">
        <f t="shared" si="14"/>
        <v>3.91</v>
      </c>
      <c r="X78" s="5">
        <f t="shared" si="14"/>
        <v>3.43</v>
      </c>
      <c r="Y78" s="5">
        <f t="shared" si="14"/>
        <v>2.92</v>
      </c>
      <c r="Z78" s="5">
        <f t="shared" si="14"/>
        <v>2.84</v>
      </c>
      <c r="AA78" s="5">
        <f t="shared" si="14"/>
        <v>2.52</v>
      </c>
      <c r="AB78" s="5">
        <f t="shared" si="14"/>
        <v>2.06</v>
      </c>
      <c r="AC78" s="5">
        <f t="shared" si="14"/>
        <v>1.68</v>
      </c>
      <c r="AD78" s="5">
        <f t="shared" si="14"/>
        <v>1.62</v>
      </c>
      <c r="AE78" s="5">
        <f t="shared" si="14"/>
        <v>1.36</v>
      </c>
      <c r="AF78" s="5">
        <f t="shared" si="14"/>
        <v>1.29</v>
      </c>
      <c r="AG78" s="5">
        <f t="shared" si="14"/>
        <v>1.24</v>
      </c>
      <c r="AH78" s="5">
        <f t="shared" si="8"/>
        <v>1.04</v>
      </c>
      <c r="AI78" s="5">
        <f t="shared" si="8"/>
        <v>0.92</v>
      </c>
      <c r="AJ78" s="5">
        <f t="shared" si="8"/>
        <v>0.87</v>
      </c>
    </row>
    <row r="79" spans="1:36">
      <c r="A79" t="str">
        <f>"primary_archetype_"&amp;TEXT(ROUND(Table213[[#This Row],[2016]],1),"0.0")</f>
        <v>primary_archetype_22.6</v>
      </c>
      <c r="B79" s="5">
        <f t="shared" si="13"/>
        <v>22.6</v>
      </c>
      <c r="C79" s="5">
        <f t="shared" si="15"/>
        <v>22.6</v>
      </c>
      <c r="D79" s="5">
        <f t="shared" si="15"/>
        <v>22.6</v>
      </c>
      <c r="E79" s="5">
        <f t="shared" si="15"/>
        <v>22.17</v>
      </c>
      <c r="F79" s="5">
        <f t="shared" si="15"/>
        <v>21.14</v>
      </c>
      <c r="G79" s="5">
        <f t="shared" si="15"/>
        <v>21.29</v>
      </c>
      <c r="H79" s="5">
        <f t="shared" si="15"/>
        <v>20.84</v>
      </c>
      <c r="I79" s="5">
        <f t="shared" si="15"/>
        <v>19.97</v>
      </c>
      <c r="J79" s="5">
        <f t="shared" si="15"/>
        <v>19.49</v>
      </c>
      <c r="K79" s="5">
        <f t="shared" si="15"/>
        <v>18.99</v>
      </c>
      <c r="L79" s="5">
        <f t="shared" si="15"/>
        <v>18.2</v>
      </c>
      <c r="M79" s="5">
        <f t="shared" si="15"/>
        <v>18.1</v>
      </c>
      <c r="N79" s="5">
        <f t="shared" si="15"/>
        <v>17.45</v>
      </c>
      <c r="O79" s="5">
        <f t="shared" si="15"/>
        <v>16.78</v>
      </c>
      <c r="P79" s="5">
        <f t="shared" si="15"/>
        <v>15.99</v>
      </c>
      <c r="Q79" s="5">
        <f t="shared" si="15"/>
        <v>13.67</v>
      </c>
      <c r="R79" s="5">
        <f t="shared" si="15"/>
        <v>10.54</v>
      </c>
      <c r="S79" s="5">
        <f t="shared" si="14"/>
        <v>9.54</v>
      </c>
      <c r="T79" s="5">
        <f t="shared" si="14"/>
        <v>7.37</v>
      </c>
      <c r="U79" s="5">
        <f t="shared" si="14"/>
        <v>5.18</v>
      </c>
      <c r="V79" s="5">
        <f t="shared" si="14"/>
        <v>4.86</v>
      </c>
      <c r="W79" s="5">
        <f t="shared" si="14"/>
        <v>3.9</v>
      </c>
      <c r="X79" s="5">
        <f t="shared" si="14"/>
        <v>3.41</v>
      </c>
      <c r="Y79" s="5">
        <f t="shared" si="14"/>
        <v>2.91</v>
      </c>
      <c r="Z79" s="5">
        <f t="shared" si="14"/>
        <v>2.83</v>
      </c>
      <c r="AA79" s="5">
        <f t="shared" si="14"/>
        <v>2.51</v>
      </c>
      <c r="AB79" s="5">
        <f t="shared" si="14"/>
        <v>2.05</v>
      </c>
      <c r="AC79" s="5">
        <f t="shared" si="14"/>
        <v>1.68</v>
      </c>
      <c r="AD79" s="5">
        <f t="shared" si="14"/>
        <v>1.61</v>
      </c>
      <c r="AE79" s="5">
        <f t="shared" si="14"/>
        <v>1.36</v>
      </c>
      <c r="AF79" s="5">
        <f t="shared" si="14"/>
        <v>1.29</v>
      </c>
      <c r="AG79" s="5">
        <f t="shared" si="14"/>
        <v>1.24</v>
      </c>
      <c r="AH79" s="5">
        <f t="shared" si="8"/>
        <v>1.04</v>
      </c>
      <c r="AI79" s="5">
        <f t="shared" si="8"/>
        <v>0.92</v>
      </c>
      <c r="AJ79" s="5">
        <f t="shared" si="8"/>
        <v>0.87</v>
      </c>
    </row>
    <row r="80" spans="1:36">
      <c r="A80" t="str">
        <f>"primary_archetype_"&amp;TEXT(ROUND(Table213[[#This Row],[2016]],1),"0.0")</f>
        <v>primary_archetype_22.5</v>
      </c>
      <c r="B80" s="5">
        <f t="shared" si="13"/>
        <v>22.5</v>
      </c>
      <c r="C80" s="5">
        <f t="shared" si="15"/>
        <v>22.5</v>
      </c>
      <c r="D80" s="5">
        <f t="shared" si="15"/>
        <v>22.5</v>
      </c>
      <c r="E80" s="5">
        <f t="shared" si="15"/>
        <v>22.08</v>
      </c>
      <c r="F80" s="5">
        <f t="shared" si="15"/>
        <v>21.05</v>
      </c>
      <c r="G80" s="5">
        <f t="shared" si="15"/>
        <v>21.19</v>
      </c>
      <c r="H80" s="5">
        <f t="shared" si="15"/>
        <v>20.75</v>
      </c>
      <c r="I80" s="5">
        <f t="shared" si="15"/>
        <v>19.88</v>
      </c>
      <c r="J80" s="5">
        <f t="shared" si="15"/>
        <v>19.4</v>
      </c>
      <c r="K80" s="5">
        <f t="shared" si="15"/>
        <v>18.9</v>
      </c>
      <c r="L80" s="5">
        <f t="shared" si="15"/>
        <v>18.12</v>
      </c>
      <c r="M80" s="5">
        <f t="shared" si="15"/>
        <v>18.02</v>
      </c>
      <c r="N80" s="5">
        <f t="shared" si="15"/>
        <v>17.38</v>
      </c>
      <c r="O80" s="5">
        <f t="shared" si="15"/>
        <v>16.71</v>
      </c>
      <c r="P80" s="5">
        <f t="shared" si="15"/>
        <v>15.92</v>
      </c>
      <c r="Q80" s="5">
        <f t="shared" si="15"/>
        <v>13.61</v>
      </c>
      <c r="R80" s="5">
        <f t="shared" si="15"/>
        <v>10.49</v>
      </c>
      <c r="S80" s="5">
        <f t="shared" si="14"/>
        <v>9.5</v>
      </c>
      <c r="T80" s="5">
        <f t="shared" si="14"/>
        <v>7.34</v>
      </c>
      <c r="U80" s="5">
        <f t="shared" si="14"/>
        <v>5.16</v>
      </c>
      <c r="V80" s="5">
        <f t="shared" si="14"/>
        <v>4.84</v>
      </c>
      <c r="W80" s="5">
        <f t="shared" si="14"/>
        <v>3.89</v>
      </c>
      <c r="X80" s="5">
        <f t="shared" si="14"/>
        <v>3.4</v>
      </c>
      <c r="Y80" s="5">
        <f t="shared" si="14"/>
        <v>2.9</v>
      </c>
      <c r="Z80" s="5">
        <f t="shared" si="14"/>
        <v>2.82</v>
      </c>
      <c r="AA80" s="5">
        <f t="shared" si="14"/>
        <v>2.51</v>
      </c>
      <c r="AB80" s="5">
        <f t="shared" si="14"/>
        <v>2.05</v>
      </c>
      <c r="AC80" s="5">
        <f t="shared" si="14"/>
        <v>1.67</v>
      </c>
      <c r="AD80" s="5">
        <f t="shared" si="14"/>
        <v>1.61</v>
      </c>
      <c r="AE80" s="5">
        <f t="shared" si="14"/>
        <v>1.36</v>
      </c>
      <c r="AF80" s="5">
        <f t="shared" si="14"/>
        <v>1.29</v>
      </c>
      <c r="AG80" s="5">
        <f t="shared" si="14"/>
        <v>1.24</v>
      </c>
      <c r="AH80" s="5">
        <f t="shared" si="8"/>
        <v>1.04</v>
      </c>
      <c r="AI80" s="5">
        <f t="shared" si="8"/>
        <v>0.92</v>
      </c>
      <c r="AJ80" s="5">
        <f t="shared" si="8"/>
        <v>0.87</v>
      </c>
    </row>
    <row r="81" spans="1:36">
      <c r="A81" t="str">
        <f>"primary_archetype_"&amp;TEXT(ROUND(Table213[[#This Row],[2016]],1),"0.0")</f>
        <v>primary_archetype_22.4</v>
      </c>
      <c r="B81" s="5">
        <f t="shared" si="13"/>
        <v>22.4</v>
      </c>
      <c r="C81" s="5">
        <f t="shared" si="15"/>
        <v>22.4</v>
      </c>
      <c r="D81" s="5">
        <f t="shared" si="15"/>
        <v>22.4</v>
      </c>
      <c r="E81" s="5">
        <f t="shared" si="15"/>
        <v>21.98</v>
      </c>
      <c r="F81" s="5">
        <f t="shared" si="15"/>
        <v>20.96</v>
      </c>
      <c r="G81" s="5">
        <f t="shared" si="15"/>
        <v>21.1</v>
      </c>
      <c r="H81" s="5">
        <f t="shared" si="15"/>
        <v>20.65</v>
      </c>
      <c r="I81" s="5">
        <f t="shared" si="15"/>
        <v>19.8</v>
      </c>
      <c r="J81" s="5">
        <f t="shared" si="15"/>
        <v>19.31</v>
      </c>
      <c r="K81" s="5">
        <f t="shared" si="15"/>
        <v>18.82</v>
      </c>
      <c r="L81" s="5">
        <f t="shared" si="15"/>
        <v>18.04</v>
      </c>
      <c r="M81" s="5">
        <f t="shared" si="15"/>
        <v>17.94</v>
      </c>
      <c r="N81" s="5">
        <f t="shared" si="15"/>
        <v>17.3</v>
      </c>
      <c r="O81" s="5">
        <f t="shared" si="15"/>
        <v>16.64</v>
      </c>
      <c r="P81" s="5">
        <f t="shared" si="15"/>
        <v>15.85</v>
      </c>
      <c r="Q81" s="5">
        <f t="shared" si="15"/>
        <v>13.55</v>
      </c>
      <c r="R81" s="5">
        <f t="shared" si="15"/>
        <v>10.45</v>
      </c>
      <c r="S81" s="5">
        <f t="shared" si="14"/>
        <v>9.46</v>
      </c>
      <c r="T81" s="5">
        <f t="shared" si="14"/>
        <v>7.31</v>
      </c>
      <c r="U81" s="5">
        <f t="shared" si="14"/>
        <v>5.14</v>
      </c>
      <c r="V81" s="5">
        <f t="shared" si="14"/>
        <v>4.82</v>
      </c>
      <c r="W81" s="5">
        <f t="shared" si="14"/>
        <v>3.87</v>
      </c>
      <c r="X81" s="5">
        <f t="shared" si="14"/>
        <v>3.39</v>
      </c>
      <c r="Y81" s="5">
        <f t="shared" si="14"/>
        <v>2.89</v>
      </c>
      <c r="Z81" s="5">
        <f t="shared" si="14"/>
        <v>2.81</v>
      </c>
      <c r="AA81" s="5">
        <f t="shared" si="14"/>
        <v>2.5</v>
      </c>
      <c r="AB81" s="5">
        <f t="shared" si="14"/>
        <v>2.04</v>
      </c>
      <c r="AC81" s="5">
        <f t="shared" si="14"/>
        <v>1.67</v>
      </c>
      <c r="AD81" s="5">
        <f t="shared" si="14"/>
        <v>1.61</v>
      </c>
      <c r="AE81" s="5">
        <f t="shared" si="14"/>
        <v>1.36</v>
      </c>
      <c r="AF81" s="5">
        <f t="shared" si="14"/>
        <v>1.29</v>
      </c>
      <c r="AG81" s="5">
        <f t="shared" si="14"/>
        <v>1.23</v>
      </c>
      <c r="AH81" s="5">
        <f t="shared" si="8"/>
        <v>1.04</v>
      </c>
      <c r="AI81" s="5">
        <f t="shared" si="8"/>
        <v>0.93</v>
      </c>
      <c r="AJ81" s="5">
        <f t="shared" si="8"/>
        <v>0.87</v>
      </c>
    </row>
    <row r="82" spans="1:36">
      <c r="A82" t="str">
        <f>"primary_archetype_"&amp;TEXT(ROUND(Table213[[#This Row],[2016]],1),"0.0")</f>
        <v>primary_archetype_22.3</v>
      </c>
      <c r="B82" s="5">
        <f t="shared" si="13"/>
        <v>22.3</v>
      </c>
      <c r="C82" s="5">
        <f t="shared" si="15"/>
        <v>22.3</v>
      </c>
      <c r="D82" s="5">
        <f t="shared" si="15"/>
        <v>22.3</v>
      </c>
      <c r="E82" s="5">
        <f t="shared" si="15"/>
        <v>21.88</v>
      </c>
      <c r="F82" s="5">
        <f t="shared" si="15"/>
        <v>20.86</v>
      </c>
      <c r="G82" s="5">
        <f t="shared" si="15"/>
        <v>21</v>
      </c>
      <c r="H82" s="5">
        <f t="shared" si="15"/>
        <v>20.56</v>
      </c>
      <c r="I82" s="5">
        <f t="shared" si="15"/>
        <v>19.71</v>
      </c>
      <c r="J82" s="5">
        <f t="shared" si="15"/>
        <v>19.23</v>
      </c>
      <c r="K82" s="5">
        <f t="shared" si="15"/>
        <v>18.74</v>
      </c>
      <c r="L82" s="5">
        <f t="shared" si="15"/>
        <v>17.96</v>
      </c>
      <c r="M82" s="5">
        <f t="shared" si="15"/>
        <v>17.86</v>
      </c>
      <c r="N82" s="5">
        <f t="shared" si="15"/>
        <v>17.23</v>
      </c>
      <c r="O82" s="5">
        <f t="shared" si="15"/>
        <v>16.56</v>
      </c>
      <c r="P82" s="5">
        <f t="shared" si="15"/>
        <v>15.78</v>
      </c>
      <c r="Q82" s="5">
        <f t="shared" si="15"/>
        <v>13.49</v>
      </c>
      <c r="R82" s="5">
        <f t="shared" si="15"/>
        <v>10.4</v>
      </c>
      <c r="S82" s="5">
        <f t="shared" si="14"/>
        <v>9.42</v>
      </c>
      <c r="T82" s="5">
        <f t="shared" si="14"/>
        <v>7.28</v>
      </c>
      <c r="U82" s="5">
        <f t="shared" si="14"/>
        <v>5.12</v>
      </c>
      <c r="V82" s="5">
        <f t="shared" si="14"/>
        <v>4.81</v>
      </c>
      <c r="W82" s="5">
        <f t="shared" si="14"/>
        <v>3.86</v>
      </c>
      <c r="X82" s="5">
        <f t="shared" si="14"/>
        <v>3.38</v>
      </c>
      <c r="Y82" s="5">
        <f t="shared" si="14"/>
        <v>2.88</v>
      </c>
      <c r="Z82" s="5">
        <f t="shared" si="14"/>
        <v>2.81</v>
      </c>
      <c r="AA82" s="5">
        <f t="shared" si="14"/>
        <v>2.49</v>
      </c>
      <c r="AB82" s="5">
        <f t="shared" si="14"/>
        <v>2.04</v>
      </c>
      <c r="AC82" s="5">
        <f t="shared" si="14"/>
        <v>1.67</v>
      </c>
      <c r="AD82" s="5">
        <f t="shared" si="14"/>
        <v>1.61</v>
      </c>
      <c r="AE82" s="5">
        <f t="shared" si="14"/>
        <v>1.36</v>
      </c>
      <c r="AF82" s="5">
        <f t="shared" si="14"/>
        <v>1.29</v>
      </c>
      <c r="AG82" s="5">
        <f t="shared" si="14"/>
        <v>1.23</v>
      </c>
      <c r="AH82" s="5">
        <f t="shared" si="8"/>
        <v>1.04</v>
      </c>
      <c r="AI82" s="5">
        <f t="shared" ref="AI82:AJ82" si="16">MROUND((($B82-$AH$2)*((AI$2-$AH$2)/($B$2-$AH$2)))+$AH$2,0.01)</f>
        <v>0.93</v>
      </c>
      <c r="AJ82" s="5">
        <f t="shared" si="16"/>
        <v>0.87</v>
      </c>
    </row>
    <row r="83" spans="1:36">
      <c r="A83" t="str">
        <f>"primary_archetype_"&amp;TEXT(ROUND(Table213[[#This Row],[2016]],1),"0.0")</f>
        <v>primary_archetype_22.2</v>
      </c>
      <c r="B83" s="5">
        <f t="shared" si="13"/>
        <v>22.2</v>
      </c>
      <c r="C83" s="5">
        <f t="shared" si="15"/>
        <v>22.2</v>
      </c>
      <c r="D83" s="5">
        <f t="shared" si="15"/>
        <v>22.2</v>
      </c>
      <c r="E83" s="5">
        <f t="shared" si="15"/>
        <v>21.78</v>
      </c>
      <c r="F83" s="5">
        <f t="shared" si="15"/>
        <v>20.77</v>
      </c>
      <c r="G83" s="5">
        <f t="shared" si="15"/>
        <v>20.91</v>
      </c>
      <c r="H83" s="5">
        <f t="shared" si="15"/>
        <v>20.47</v>
      </c>
      <c r="I83" s="5">
        <f t="shared" si="15"/>
        <v>19.62</v>
      </c>
      <c r="J83" s="5">
        <f t="shared" si="15"/>
        <v>19.14</v>
      </c>
      <c r="K83" s="5">
        <f t="shared" si="15"/>
        <v>18.65</v>
      </c>
      <c r="L83" s="5">
        <f t="shared" si="15"/>
        <v>17.88</v>
      </c>
      <c r="M83" s="5">
        <f t="shared" si="15"/>
        <v>17.78</v>
      </c>
      <c r="N83" s="5">
        <f t="shared" si="15"/>
        <v>17.15</v>
      </c>
      <c r="O83" s="5">
        <f t="shared" si="15"/>
        <v>16.49</v>
      </c>
      <c r="P83" s="5">
        <f t="shared" si="15"/>
        <v>15.71</v>
      </c>
      <c r="Q83" s="5">
        <f t="shared" si="15"/>
        <v>13.43</v>
      </c>
      <c r="R83" s="5">
        <f t="shared" si="15"/>
        <v>10.36</v>
      </c>
      <c r="S83" s="5">
        <f t="shared" si="14"/>
        <v>9.38</v>
      </c>
      <c r="T83" s="5">
        <f t="shared" si="14"/>
        <v>7.25</v>
      </c>
      <c r="U83" s="5">
        <f t="shared" si="14"/>
        <v>5.1</v>
      </c>
      <c r="V83" s="5">
        <f t="shared" si="14"/>
        <v>4.79</v>
      </c>
      <c r="W83" s="5">
        <f t="shared" si="14"/>
        <v>3.85</v>
      </c>
      <c r="X83" s="5">
        <f t="shared" si="14"/>
        <v>3.37</v>
      </c>
      <c r="Y83" s="5">
        <f t="shared" si="14"/>
        <v>2.87</v>
      </c>
      <c r="Z83" s="5">
        <f t="shared" si="14"/>
        <v>2.8</v>
      </c>
      <c r="AA83" s="5">
        <f t="shared" si="14"/>
        <v>2.49</v>
      </c>
      <c r="AB83" s="5">
        <f t="shared" si="14"/>
        <v>2.04</v>
      </c>
      <c r="AC83" s="5">
        <f t="shared" si="14"/>
        <v>1.67</v>
      </c>
      <c r="AD83" s="5">
        <f t="shared" si="14"/>
        <v>1.6</v>
      </c>
      <c r="AE83" s="5">
        <f t="shared" si="14"/>
        <v>1.35</v>
      </c>
      <c r="AF83" s="5">
        <f t="shared" si="14"/>
        <v>1.28</v>
      </c>
      <c r="AG83" s="5">
        <f t="shared" si="14"/>
        <v>1.23</v>
      </c>
      <c r="AH83" s="5">
        <f t="shared" ref="AH83:AJ146" si="17">MROUND((($B83-$AH$2)*((AH$2-$AH$2)/($B$2-$AH$2)))+$AH$2,0.01)</f>
        <v>1.04</v>
      </c>
      <c r="AI83" s="5">
        <f t="shared" si="17"/>
        <v>0.93</v>
      </c>
      <c r="AJ83" s="5">
        <f t="shared" si="17"/>
        <v>0.87</v>
      </c>
    </row>
    <row r="84" spans="1:36">
      <c r="A84" t="str">
        <f>"primary_archetype_"&amp;TEXT(ROUND(Table213[[#This Row],[2016]],1),"0.0")</f>
        <v>primary_archetype_22.1</v>
      </c>
      <c r="B84" s="5">
        <f t="shared" si="13"/>
        <v>22.1</v>
      </c>
      <c r="C84" s="5">
        <f t="shared" si="15"/>
        <v>22.1</v>
      </c>
      <c r="D84" s="5">
        <f t="shared" si="15"/>
        <v>22.1</v>
      </c>
      <c r="E84" s="5">
        <f t="shared" si="15"/>
        <v>21.68</v>
      </c>
      <c r="F84" s="5">
        <f t="shared" si="15"/>
        <v>20.68</v>
      </c>
      <c r="G84" s="5">
        <f t="shared" si="15"/>
        <v>20.82</v>
      </c>
      <c r="H84" s="5">
        <f t="shared" si="15"/>
        <v>20.38</v>
      </c>
      <c r="I84" s="5">
        <f t="shared" si="15"/>
        <v>19.53</v>
      </c>
      <c r="J84" s="5">
        <f t="shared" si="15"/>
        <v>19.06</v>
      </c>
      <c r="K84" s="5">
        <f t="shared" si="15"/>
        <v>18.57</v>
      </c>
      <c r="L84" s="5">
        <f t="shared" si="15"/>
        <v>17.8</v>
      </c>
      <c r="M84" s="5">
        <f t="shared" si="15"/>
        <v>17.71</v>
      </c>
      <c r="N84" s="5">
        <f t="shared" si="15"/>
        <v>17.07</v>
      </c>
      <c r="O84" s="5">
        <f t="shared" si="15"/>
        <v>16.42</v>
      </c>
      <c r="P84" s="5">
        <f t="shared" si="15"/>
        <v>15.64</v>
      </c>
      <c r="Q84" s="5">
        <f t="shared" si="15"/>
        <v>13.38</v>
      </c>
      <c r="R84" s="5">
        <f t="shared" si="15"/>
        <v>10.32</v>
      </c>
      <c r="S84" s="5">
        <f t="shared" si="14"/>
        <v>9.34</v>
      </c>
      <c r="T84" s="5">
        <f t="shared" si="14"/>
        <v>7.22</v>
      </c>
      <c r="U84" s="5">
        <f t="shared" si="14"/>
        <v>5.08</v>
      </c>
      <c r="V84" s="5">
        <f t="shared" si="14"/>
        <v>4.77</v>
      </c>
      <c r="W84" s="5">
        <f t="shared" si="14"/>
        <v>3.83</v>
      </c>
      <c r="X84" s="5">
        <f t="shared" si="14"/>
        <v>3.36</v>
      </c>
      <c r="Y84" s="5">
        <f t="shared" si="14"/>
        <v>2.87</v>
      </c>
      <c r="Z84" s="5">
        <f t="shared" si="14"/>
        <v>2.79</v>
      </c>
      <c r="AA84" s="5">
        <f t="shared" si="14"/>
        <v>2.48</v>
      </c>
      <c r="AB84" s="5">
        <f t="shared" si="14"/>
        <v>2.03</v>
      </c>
      <c r="AC84" s="5">
        <f t="shared" si="14"/>
        <v>1.66</v>
      </c>
      <c r="AD84" s="5">
        <f t="shared" si="14"/>
        <v>1.6</v>
      </c>
      <c r="AE84" s="5">
        <f t="shared" si="14"/>
        <v>1.35</v>
      </c>
      <c r="AF84" s="5">
        <f t="shared" si="14"/>
        <v>1.28</v>
      </c>
      <c r="AG84" s="5">
        <f t="shared" si="14"/>
        <v>1.23</v>
      </c>
      <c r="AH84" s="5">
        <f t="shared" si="17"/>
        <v>1.04</v>
      </c>
      <c r="AI84" s="5">
        <f t="shared" si="17"/>
        <v>0.93</v>
      </c>
      <c r="AJ84" s="5">
        <f t="shared" si="17"/>
        <v>0.87</v>
      </c>
    </row>
    <row r="85" spans="1:36">
      <c r="A85" t="str">
        <f>"primary_archetype_"&amp;TEXT(ROUND(Table213[[#This Row],[2016]],1),"0.0")</f>
        <v>primary_archetype_22.0</v>
      </c>
      <c r="B85" s="5">
        <f t="shared" si="13"/>
        <v>22</v>
      </c>
      <c r="C85" s="5">
        <f t="shared" si="15"/>
        <v>22</v>
      </c>
      <c r="D85" s="5">
        <f t="shared" si="15"/>
        <v>22</v>
      </c>
      <c r="E85" s="5">
        <f t="shared" si="15"/>
        <v>21.59</v>
      </c>
      <c r="F85" s="5">
        <f t="shared" si="15"/>
        <v>20.58</v>
      </c>
      <c r="G85" s="5">
        <f t="shared" si="15"/>
        <v>20.72</v>
      </c>
      <c r="H85" s="5">
        <f t="shared" si="15"/>
        <v>20.29</v>
      </c>
      <c r="I85" s="5">
        <f t="shared" si="15"/>
        <v>19.44</v>
      </c>
      <c r="J85" s="5">
        <f t="shared" si="15"/>
        <v>18.97</v>
      </c>
      <c r="K85" s="5">
        <f t="shared" si="15"/>
        <v>18.49</v>
      </c>
      <c r="L85" s="5">
        <f t="shared" si="15"/>
        <v>17.72</v>
      </c>
      <c r="M85" s="5">
        <f t="shared" si="15"/>
        <v>17.63</v>
      </c>
      <c r="N85" s="5">
        <f t="shared" si="15"/>
        <v>17</v>
      </c>
      <c r="O85" s="5">
        <f t="shared" si="15"/>
        <v>16.35</v>
      </c>
      <c r="P85" s="5">
        <f t="shared" si="15"/>
        <v>15.58</v>
      </c>
      <c r="Q85" s="5">
        <f t="shared" si="15"/>
        <v>13.32</v>
      </c>
      <c r="R85" s="5">
        <f t="shared" si="15"/>
        <v>10.27</v>
      </c>
      <c r="S85" s="5">
        <f t="shared" si="14"/>
        <v>9.3</v>
      </c>
      <c r="T85" s="5">
        <f t="shared" si="14"/>
        <v>7.19</v>
      </c>
      <c r="U85" s="5">
        <f t="shared" si="14"/>
        <v>5.06</v>
      </c>
      <c r="V85" s="5">
        <f t="shared" si="14"/>
        <v>4.75</v>
      </c>
      <c r="W85" s="5">
        <f t="shared" si="14"/>
        <v>3.82</v>
      </c>
      <c r="X85" s="5">
        <f t="shared" si="14"/>
        <v>3.35</v>
      </c>
      <c r="Y85" s="5">
        <f t="shared" si="14"/>
        <v>2.86</v>
      </c>
      <c r="Z85" s="5">
        <f t="shared" si="14"/>
        <v>2.78</v>
      </c>
      <c r="AA85" s="5">
        <f t="shared" si="14"/>
        <v>2.47</v>
      </c>
      <c r="AB85" s="5">
        <f t="shared" si="14"/>
        <v>2.03</v>
      </c>
      <c r="AC85" s="5">
        <f t="shared" si="14"/>
        <v>1.66</v>
      </c>
      <c r="AD85" s="5">
        <f t="shared" si="14"/>
        <v>1.6</v>
      </c>
      <c r="AE85" s="5">
        <f t="shared" si="14"/>
        <v>1.35</v>
      </c>
      <c r="AF85" s="5">
        <f t="shared" si="14"/>
        <v>1.28</v>
      </c>
      <c r="AG85" s="5">
        <f t="shared" si="14"/>
        <v>1.23</v>
      </c>
      <c r="AH85" s="5">
        <f t="shared" si="17"/>
        <v>1.04</v>
      </c>
      <c r="AI85" s="5">
        <f t="shared" si="17"/>
        <v>0.93</v>
      </c>
      <c r="AJ85" s="5">
        <f t="shared" si="17"/>
        <v>0.88</v>
      </c>
    </row>
    <row r="86" spans="1:36">
      <c r="A86" t="str">
        <f>"primary_archetype_"&amp;TEXT(ROUND(Table213[[#This Row],[2016]],1),"0.0")</f>
        <v>primary_archetype_21.9</v>
      </c>
      <c r="B86" s="5">
        <f t="shared" si="13"/>
        <v>21.9</v>
      </c>
      <c r="C86" s="5">
        <f t="shared" si="15"/>
        <v>21.9</v>
      </c>
      <c r="D86" s="5">
        <f t="shared" si="15"/>
        <v>21.9</v>
      </c>
      <c r="E86" s="5">
        <f t="shared" si="15"/>
        <v>21.49</v>
      </c>
      <c r="F86" s="5">
        <f t="shared" si="15"/>
        <v>20.49</v>
      </c>
      <c r="G86" s="5">
        <f t="shared" si="15"/>
        <v>20.63</v>
      </c>
      <c r="H86" s="5">
        <f t="shared" si="15"/>
        <v>20.2</v>
      </c>
      <c r="I86" s="5">
        <f t="shared" si="15"/>
        <v>19.36</v>
      </c>
      <c r="J86" s="5">
        <f t="shared" si="15"/>
        <v>18.89</v>
      </c>
      <c r="K86" s="5">
        <f t="shared" si="15"/>
        <v>18.4</v>
      </c>
      <c r="L86" s="5">
        <f t="shared" si="15"/>
        <v>17.64</v>
      </c>
      <c r="M86" s="5">
        <f t="shared" si="15"/>
        <v>17.55</v>
      </c>
      <c r="N86" s="5">
        <f t="shared" si="15"/>
        <v>16.92</v>
      </c>
      <c r="O86" s="5">
        <f t="shared" si="15"/>
        <v>16.27</v>
      </c>
      <c r="P86" s="5">
        <f t="shared" si="15"/>
        <v>15.51</v>
      </c>
      <c r="Q86" s="5">
        <f t="shared" si="15"/>
        <v>13.26</v>
      </c>
      <c r="R86" s="5">
        <f t="shared" si="15"/>
        <v>10.23</v>
      </c>
      <c r="S86" s="5">
        <f t="shared" si="14"/>
        <v>9.26</v>
      </c>
      <c r="T86" s="5">
        <f t="shared" si="14"/>
        <v>7.16</v>
      </c>
      <c r="U86" s="5">
        <f t="shared" si="14"/>
        <v>5.04</v>
      </c>
      <c r="V86" s="5">
        <f t="shared" si="14"/>
        <v>4.74</v>
      </c>
      <c r="W86" s="5">
        <f t="shared" si="14"/>
        <v>3.81</v>
      </c>
      <c r="X86" s="5">
        <f t="shared" si="14"/>
        <v>3.34</v>
      </c>
      <c r="Y86" s="5">
        <f t="shared" si="14"/>
        <v>2.85</v>
      </c>
      <c r="Z86" s="5">
        <f t="shared" si="14"/>
        <v>2.77</v>
      </c>
      <c r="AA86" s="5">
        <f t="shared" si="14"/>
        <v>2.47</v>
      </c>
      <c r="AB86" s="5">
        <f t="shared" si="14"/>
        <v>2.02</v>
      </c>
      <c r="AC86" s="5">
        <f t="shared" si="14"/>
        <v>1.66</v>
      </c>
      <c r="AD86" s="5">
        <f t="shared" si="14"/>
        <v>1.6</v>
      </c>
      <c r="AE86" s="5">
        <f t="shared" si="14"/>
        <v>1.35</v>
      </c>
      <c r="AF86" s="5">
        <f t="shared" si="14"/>
        <v>1.28</v>
      </c>
      <c r="AG86" s="5">
        <f t="shared" si="14"/>
        <v>1.23</v>
      </c>
      <c r="AH86" s="5">
        <f t="shared" si="17"/>
        <v>1.04</v>
      </c>
      <c r="AI86" s="5">
        <f t="shared" si="17"/>
        <v>0.93</v>
      </c>
      <c r="AJ86" s="5">
        <f t="shared" si="17"/>
        <v>0.88</v>
      </c>
    </row>
    <row r="87" spans="1:36">
      <c r="A87" t="str">
        <f>"primary_archetype_"&amp;TEXT(ROUND(Table213[[#This Row],[2016]],1),"0.0")</f>
        <v>primary_archetype_21.8</v>
      </c>
      <c r="B87" s="5">
        <f t="shared" si="13"/>
        <v>21.8</v>
      </c>
      <c r="C87" s="5">
        <f t="shared" si="15"/>
        <v>21.8</v>
      </c>
      <c r="D87" s="5">
        <f t="shared" si="15"/>
        <v>21.8</v>
      </c>
      <c r="E87" s="5">
        <f t="shared" si="15"/>
        <v>21.39</v>
      </c>
      <c r="F87" s="5">
        <f t="shared" si="15"/>
        <v>20.4</v>
      </c>
      <c r="G87" s="5">
        <f t="shared" si="15"/>
        <v>20.53</v>
      </c>
      <c r="H87" s="5">
        <f t="shared" si="15"/>
        <v>20.1</v>
      </c>
      <c r="I87" s="5">
        <f t="shared" si="15"/>
        <v>19.27</v>
      </c>
      <c r="J87" s="5">
        <f t="shared" si="15"/>
        <v>18.8</v>
      </c>
      <c r="K87" s="5">
        <f t="shared" si="15"/>
        <v>18.32</v>
      </c>
      <c r="L87" s="5">
        <f t="shared" si="15"/>
        <v>17.56</v>
      </c>
      <c r="M87" s="5">
        <f t="shared" si="15"/>
        <v>17.47</v>
      </c>
      <c r="N87" s="5">
        <f t="shared" si="15"/>
        <v>16.85</v>
      </c>
      <c r="O87" s="5">
        <f t="shared" si="15"/>
        <v>16.2</v>
      </c>
      <c r="P87" s="5">
        <f t="shared" si="15"/>
        <v>15.44</v>
      </c>
      <c r="Q87" s="5">
        <f t="shared" si="15"/>
        <v>13.2</v>
      </c>
      <c r="R87" s="5">
        <f t="shared" si="15"/>
        <v>10.18</v>
      </c>
      <c r="S87" s="5">
        <f t="shared" si="14"/>
        <v>9.22</v>
      </c>
      <c r="T87" s="5">
        <f t="shared" si="14"/>
        <v>7.13</v>
      </c>
      <c r="U87" s="5">
        <f t="shared" si="14"/>
        <v>5.02</v>
      </c>
      <c r="V87" s="5">
        <f t="shared" si="14"/>
        <v>4.72</v>
      </c>
      <c r="W87" s="5">
        <f t="shared" si="14"/>
        <v>3.8</v>
      </c>
      <c r="X87" s="5">
        <f t="shared" si="14"/>
        <v>3.33</v>
      </c>
      <c r="Y87" s="5">
        <f t="shared" si="14"/>
        <v>2.84</v>
      </c>
      <c r="Z87" s="5">
        <f t="shared" si="14"/>
        <v>2.76</v>
      </c>
      <c r="AA87" s="5">
        <f t="shared" si="14"/>
        <v>2.46</v>
      </c>
      <c r="AB87" s="5">
        <f t="shared" si="14"/>
        <v>2.02</v>
      </c>
      <c r="AC87" s="5">
        <f t="shared" si="14"/>
        <v>1.65</v>
      </c>
      <c r="AD87" s="5">
        <f t="shared" si="14"/>
        <v>1.59</v>
      </c>
      <c r="AE87" s="5">
        <f t="shared" si="14"/>
        <v>1.35</v>
      </c>
      <c r="AF87" s="5">
        <f t="shared" si="14"/>
        <v>1.28</v>
      </c>
      <c r="AG87" s="5">
        <f t="shared" si="14"/>
        <v>1.23</v>
      </c>
      <c r="AH87" s="5">
        <f t="shared" si="17"/>
        <v>1.04</v>
      </c>
      <c r="AI87" s="5">
        <f t="shared" si="17"/>
        <v>0.93</v>
      </c>
      <c r="AJ87" s="5">
        <f t="shared" si="17"/>
        <v>0.88</v>
      </c>
    </row>
    <row r="88" spans="1:36">
      <c r="A88" t="str">
        <f>"primary_archetype_"&amp;TEXT(ROUND(Table213[[#This Row],[2016]],1),"0.0")</f>
        <v>primary_archetype_21.7</v>
      </c>
      <c r="B88" s="5">
        <f t="shared" si="13"/>
        <v>21.7</v>
      </c>
      <c r="C88" s="5">
        <f t="shared" si="15"/>
        <v>21.7</v>
      </c>
      <c r="D88" s="5">
        <f t="shared" si="15"/>
        <v>21.7</v>
      </c>
      <c r="E88" s="5">
        <f t="shared" si="15"/>
        <v>21.29</v>
      </c>
      <c r="F88" s="5">
        <f t="shared" si="15"/>
        <v>20.3</v>
      </c>
      <c r="G88" s="5">
        <f t="shared" si="15"/>
        <v>20.44</v>
      </c>
      <c r="H88" s="5">
        <f t="shared" si="15"/>
        <v>20.01</v>
      </c>
      <c r="I88" s="5">
        <f t="shared" si="15"/>
        <v>19.18</v>
      </c>
      <c r="J88" s="5">
        <f t="shared" si="15"/>
        <v>18.72</v>
      </c>
      <c r="K88" s="5">
        <f t="shared" si="15"/>
        <v>18.24</v>
      </c>
      <c r="L88" s="5">
        <f t="shared" si="15"/>
        <v>17.48</v>
      </c>
      <c r="M88" s="5">
        <f t="shared" si="15"/>
        <v>17.39</v>
      </c>
      <c r="N88" s="5">
        <f t="shared" si="15"/>
        <v>16.77</v>
      </c>
      <c r="O88" s="5">
        <f t="shared" si="15"/>
        <v>16.13</v>
      </c>
      <c r="P88" s="5">
        <f t="shared" si="15"/>
        <v>15.37</v>
      </c>
      <c r="Q88" s="5">
        <f t="shared" si="15"/>
        <v>13.14</v>
      </c>
      <c r="R88" s="5">
        <f t="shared" si="15"/>
        <v>10.14</v>
      </c>
      <c r="S88" s="5">
        <f t="shared" si="14"/>
        <v>9.18</v>
      </c>
      <c r="T88" s="5">
        <f t="shared" si="14"/>
        <v>7.1</v>
      </c>
      <c r="U88" s="5">
        <f t="shared" si="14"/>
        <v>5</v>
      </c>
      <c r="V88" s="5">
        <f t="shared" si="14"/>
        <v>4.7</v>
      </c>
      <c r="W88" s="5">
        <f t="shared" si="14"/>
        <v>3.78</v>
      </c>
      <c r="X88" s="5">
        <f t="shared" si="14"/>
        <v>3.32</v>
      </c>
      <c r="Y88" s="5">
        <f t="shared" si="14"/>
        <v>2.83</v>
      </c>
      <c r="Z88" s="5">
        <f t="shared" si="14"/>
        <v>2.76</v>
      </c>
      <c r="AA88" s="5">
        <f t="shared" si="14"/>
        <v>2.45</v>
      </c>
      <c r="AB88" s="5">
        <f t="shared" si="14"/>
        <v>2.01</v>
      </c>
      <c r="AC88" s="5">
        <f t="shared" si="14"/>
        <v>1.65</v>
      </c>
      <c r="AD88" s="5">
        <f t="shared" si="14"/>
        <v>1.59</v>
      </c>
      <c r="AE88" s="5">
        <f t="shared" si="14"/>
        <v>1.35</v>
      </c>
      <c r="AF88" s="5">
        <f t="shared" si="14"/>
        <v>1.28</v>
      </c>
      <c r="AG88" s="5">
        <f t="shared" si="14"/>
        <v>1.23</v>
      </c>
      <c r="AH88" s="5">
        <f t="shared" si="17"/>
        <v>1.04</v>
      </c>
      <c r="AI88" s="5">
        <f t="shared" si="17"/>
        <v>0.93</v>
      </c>
      <c r="AJ88" s="5">
        <f t="shared" si="17"/>
        <v>0.88</v>
      </c>
    </row>
    <row r="89" spans="1:36">
      <c r="A89" t="str">
        <f>"primary_archetype_"&amp;TEXT(ROUND(Table213[[#This Row],[2016]],1),"0.0")</f>
        <v>primary_archetype_21.6</v>
      </c>
      <c r="B89" s="5">
        <f t="shared" si="13"/>
        <v>21.6</v>
      </c>
      <c r="C89" s="5">
        <f t="shared" si="15"/>
        <v>21.6</v>
      </c>
      <c r="D89" s="5">
        <f t="shared" si="15"/>
        <v>21.6</v>
      </c>
      <c r="E89" s="5">
        <f t="shared" si="15"/>
        <v>21.19</v>
      </c>
      <c r="F89" s="5">
        <f t="shared" si="15"/>
        <v>20.21</v>
      </c>
      <c r="G89" s="5">
        <f t="shared" si="15"/>
        <v>20.35</v>
      </c>
      <c r="H89" s="5">
        <f t="shared" si="15"/>
        <v>19.92</v>
      </c>
      <c r="I89" s="5">
        <f t="shared" si="15"/>
        <v>19.09</v>
      </c>
      <c r="J89" s="5">
        <f t="shared" si="15"/>
        <v>18.63</v>
      </c>
      <c r="K89" s="5">
        <f t="shared" si="15"/>
        <v>18.15</v>
      </c>
      <c r="L89" s="5">
        <f t="shared" si="15"/>
        <v>17.4</v>
      </c>
      <c r="M89" s="5">
        <f t="shared" si="15"/>
        <v>17.31</v>
      </c>
      <c r="N89" s="5">
        <f t="shared" si="15"/>
        <v>16.69</v>
      </c>
      <c r="O89" s="5">
        <f t="shared" si="15"/>
        <v>16.05</v>
      </c>
      <c r="P89" s="5">
        <f t="shared" si="15"/>
        <v>15.3</v>
      </c>
      <c r="Q89" s="5">
        <f t="shared" si="15"/>
        <v>13.08</v>
      </c>
      <c r="R89" s="5">
        <f t="shared" si="15"/>
        <v>10.1</v>
      </c>
      <c r="S89" s="5">
        <f t="shared" si="14"/>
        <v>9.14</v>
      </c>
      <c r="T89" s="5">
        <f t="shared" si="14"/>
        <v>7.07</v>
      </c>
      <c r="U89" s="5">
        <f t="shared" si="14"/>
        <v>4.99</v>
      </c>
      <c r="V89" s="5">
        <f t="shared" si="14"/>
        <v>4.68</v>
      </c>
      <c r="W89" s="5">
        <f t="shared" si="14"/>
        <v>3.77</v>
      </c>
      <c r="X89" s="5">
        <f t="shared" si="14"/>
        <v>3.3</v>
      </c>
      <c r="Y89" s="5">
        <f t="shared" si="14"/>
        <v>2.82</v>
      </c>
      <c r="Z89" s="5">
        <f t="shared" si="14"/>
        <v>2.75</v>
      </c>
      <c r="AA89" s="5">
        <f t="shared" si="14"/>
        <v>2.45</v>
      </c>
      <c r="AB89" s="5">
        <f t="shared" si="14"/>
        <v>2.01</v>
      </c>
      <c r="AC89" s="5">
        <f t="shared" si="14"/>
        <v>1.65</v>
      </c>
      <c r="AD89" s="5">
        <f t="shared" si="14"/>
        <v>1.59</v>
      </c>
      <c r="AE89" s="5">
        <f t="shared" si="14"/>
        <v>1.35</v>
      </c>
      <c r="AF89" s="5">
        <f t="shared" si="14"/>
        <v>1.28</v>
      </c>
      <c r="AG89" s="5">
        <f t="shared" si="14"/>
        <v>1.23</v>
      </c>
      <c r="AH89" s="5">
        <f t="shared" si="17"/>
        <v>1.04</v>
      </c>
      <c r="AI89" s="5">
        <f t="shared" si="17"/>
        <v>0.93</v>
      </c>
      <c r="AJ89" s="5">
        <f t="shared" si="17"/>
        <v>0.88</v>
      </c>
    </row>
    <row r="90" spans="1:36">
      <c r="A90" t="str">
        <f>"primary_archetype_"&amp;TEXT(ROUND(Table213[[#This Row],[2016]],1),"0.0")</f>
        <v>primary_archetype_21.5</v>
      </c>
      <c r="B90" s="5">
        <f t="shared" si="13"/>
        <v>21.5</v>
      </c>
      <c r="C90" s="5">
        <f t="shared" si="15"/>
        <v>21.5</v>
      </c>
      <c r="D90" s="5">
        <f t="shared" si="15"/>
        <v>21.5</v>
      </c>
      <c r="E90" s="5">
        <f t="shared" si="15"/>
        <v>21.1</v>
      </c>
      <c r="F90" s="5">
        <f t="shared" si="15"/>
        <v>20.12</v>
      </c>
      <c r="G90" s="5">
        <f t="shared" si="15"/>
        <v>20.25</v>
      </c>
      <c r="H90" s="5">
        <f t="shared" si="15"/>
        <v>19.83</v>
      </c>
      <c r="I90" s="5">
        <f t="shared" si="15"/>
        <v>19.01</v>
      </c>
      <c r="J90" s="5">
        <f t="shared" si="15"/>
        <v>18.54</v>
      </c>
      <c r="K90" s="5">
        <f t="shared" si="15"/>
        <v>18.07</v>
      </c>
      <c r="L90" s="5">
        <f t="shared" si="15"/>
        <v>17.32</v>
      </c>
      <c r="M90" s="5">
        <f t="shared" si="15"/>
        <v>17.23</v>
      </c>
      <c r="N90" s="5">
        <f t="shared" si="15"/>
        <v>16.62</v>
      </c>
      <c r="O90" s="5">
        <f t="shared" si="15"/>
        <v>15.98</v>
      </c>
      <c r="P90" s="5">
        <f t="shared" si="15"/>
        <v>15.23</v>
      </c>
      <c r="Q90" s="5">
        <f t="shared" si="15"/>
        <v>13.02</v>
      </c>
      <c r="R90" s="5">
        <f t="shared" si="15"/>
        <v>10.05</v>
      </c>
      <c r="S90" s="5">
        <f t="shared" si="14"/>
        <v>9.1</v>
      </c>
      <c r="T90" s="5">
        <f t="shared" si="14"/>
        <v>7.04</v>
      </c>
      <c r="U90" s="5">
        <f t="shared" si="14"/>
        <v>4.97</v>
      </c>
      <c r="V90" s="5">
        <f t="shared" si="14"/>
        <v>4.66</v>
      </c>
      <c r="W90" s="5">
        <f t="shared" si="14"/>
        <v>3.76</v>
      </c>
      <c r="X90" s="5">
        <f t="shared" si="14"/>
        <v>3.29</v>
      </c>
      <c r="Y90" s="5">
        <f t="shared" si="14"/>
        <v>2.81</v>
      </c>
      <c r="Z90" s="5">
        <f t="shared" si="14"/>
        <v>2.74</v>
      </c>
      <c r="AA90" s="5">
        <f t="shared" si="14"/>
        <v>2.44</v>
      </c>
      <c r="AB90" s="5">
        <f t="shared" si="14"/>
        <v>2</v>
      </c>
      <c r="AC90" s="5">
        <f t="shared" si="14"/>
        <v>1.64</v>
      </c>
      <c r="AD90" s="5">
        <f t="shared" si="14"/>
        <v>1.59</v>
      </c>
      <c r="AE90" s="5">
        <f t="shared" si="14"/>
        <v>1.34</v>
      </c>
      <c r="AF90" s="5">
        <f t="shared" si="14"/>
        <v>1.28</v>
      </c>
      <c r="AG90" s="5">
        <f t="shared" si="14"/>
        <v>1.23</v>
      </c>
      <c r="AH90" s="5">
        <f t="shared" si="17"/>
        <v>1.04</v>
      </c>
      <c r="AI90" s="5">
        <f t="shared" si="17"/>
        <v>0.93</v>
      </c>
      <c r="AJ90" s="5">
        <f t="shared" si="17"/>
        <v>0.88</v>
      </c>
    </row>
    <row r="91" spans="1:36">
      <c r="A91" t="str">
        <f>"primary_archetype_"&amp;TEXT(ROUND(Table213[[#This Row],[2016]],1),"0.0")</f>
        <v>primary_archetype_21.4</v>
      </c>
      <c r="B91" s="5">
        <f t="shared" si="13"/>
        <v>21.4</v>
      </c>
      <c r="C91" s="5">
        <f t="shared" si="15"/>
        <v>21.4</v>
      </c>
      <c r="D91" s="5">
        <f t="shared" si="15"/>
        <v>21.4</v>
      </c>
      <c r="E91" s="5">
        <f t="shared" si="15"/>
        <v>21</v>
      </c>
      <c r="F91" s="5">
        <f t="shared" si="15"/>
        <v>20.02</v>
      </c>
      <c r="G91" s="5">
        <f t="shared" si="15"/>
        <v>20.16</v>
      </c>
      <c r="H91" s="5">
        <f t="shared" si="15"/>
        <v>19.74</v>
      </c>
      <c r="I91" s="5">
        <f t="shared" si="15"/>
        <v>18.92</v>
      </c>
      <c r="J91" s="5">
        <f t="shared" si="15"/>
        <v>18.46</v>
      </c>
      <c r="K91" s="5">
        <f t="shared" si="15"/>
        <v>17.99</v>
      </c>
      <c r="L91" s="5">
        <f t="shared" si="15"/>
        <v>17.24</v>
      </c>
      <c r="M91" s="5">
        <f t="shared" si="15"/>
        <v>17.15</v>
      </c>
      <c r="N91" s="5">
        <f t="shared" si="15"/>
        <v>16.54</v>
      </c>
      <c r="O91" s="5">
        <f t="shared" si="15"/>
        <v>15.91</v>
      </c>
      <c r="P91" s="5">
        <f t="shared" si="15"/>
        <v>15.16</v>
      </c>
      <c r="Q91" s="5">
        <f t="shared" si="15"/>
        <v>12.97</v>
      </c>
      <c r="R91" s="5">
        <f t="shared" si="15"/>
        <v>10.01</v>
      </c>
      <c r="S91" s="5">
        <f t="shared" si="14"/>
        <v>9.06</v>
      </c>
      <c r="T91" s="5">
        <f t="shared" si="14"/>
        <v>7.01</v>
      </c>
      <c r="U91" s="5">
        <f t="shared" si="14"/>
        <v>4.95</v>
      </c>
      <c r="V91" s="5">
        <f t="shared" si="14"/>
        <v>4.65</v>
      </c>
      <c r="W91" s="5">
        <f t="shared" si="14"/>
        <v>3.74</v>
      </c>
      <c r="X91" s="5">
        <f t="shared" si="14"/>
        <v>3.28</v>
      </c>
      <c r="Y91" s="5">
        <f t="shared" si="14"/>
        <v>2.8</v>
      </c>
      <c r="Z91" s="5">
        <f t="shared" si="14"/>
        <v>2.73</v>
      </c>
      <c r="AA91" s="5">
        <f t="shared" si="14"/>
        <v>2.43</v>
      </c>
      <c r="AB91" s="5">
        <f t="shared" si="14"/>
        <v>2</v>
      </c>
      <c r="AC91" s="5">
        <f t="shared" si="14"/>
        <v>1.64</v>
      </c>
      <c r="AD91" s="5">
        <f t="shared" si="14"/>
        <v>1.58</v>
      </c>
      <c r="AE91" s="5">
        <f t="shared" si="14"/>
        <v>1.34</v>
      </c>
      <c r="AF91" s="5">
        <f t="shared" si="14"/>
        <v>1.28</v>
      </c>
      <c r="AG91" s="5">
        <f t="shared" si="14"/>
        <v>1.22</v>
      </c>
      <c r="AH91" s="5">
        <f t="shared" si="17"/>
        <v>1.04</v>
      </c>
      <c r="AI91" s="5">
        <f t="shared" si="17"/>
        <v>0.93</v>
      </c>
      <c r="AJ91" s="5">
        <f t="shared" si="17"/>
        <v>0.88</v>
      </c>
    </row>
    <row r="92" spans="1:36">
      <c r="A92" t="str">
        <f>"primary_archetype_"&amp;TEXT(ROUND(Table213[[#This Row],[2016]],1),"0.0")</f>
        <v>primary_archetype_21.3</v>
      </c>
      <c r="B92" s="5">
        <f t="shared" si="13"/>
        <v>21.3</v>
      </c>
      <c r="C92" s="5">
        <f t="shared" si="15"/>
        <v>21.3</v>
      </c>
      <c r="D92" s="5">
        <f t="shared" si="15"/>
        <v>21.3</v>
      </c>
      <c r="E92" s="5">
        <f t="shared" si="15"/>
        <v>20.9</v>
      </c>
      <c r="F92" s="5">
        <f t="shared" si="15"/>
        <v>19.93</v>
      </c>
      <c r="G92" s="5">
        <f t="shared" si="15"/>
        <v>20.07</v>
      </c>
      <c r="H92" s="5">
        <f t="shared" si="15"/>
        <v>19.64</v>
      </c>
      <c r="I92" s="5">
        <f t="shared" si="15"/>
        <v>18.83</v>
      </c>
      <c r="J92" s="5">
        <f t="shared" si="15"/>
        <v>18.37</v>
      </c>
      <c r="K92" s="5">
        <f t="shared" si="15"/>
        <v>17.9</v>
      </c>
      <c r="L92" s="5">
        <f t="shared" si="15"/>
        <v>17.16</v>
      </c>
      <c r="M92" s="5">
        <f t="shared" si="15"/>
        <v>17.07</v>
      </c>
      <c r="N92" s="5">
        <f t="shared" si="15"/>
        <v>16.46</v>
      </c>
      <c r="O92" s="5">
        <f t="shared" si="15"/>
        <v>15.83</v>
      </c>
      <c r="P92" s="5">
        <f t="shared" si="15"/>
        <v>15.09</v>
      </c>
      <c r="Q92" s="5">
        <f t="shared" si="15"/>
        <v>12.91</v>
      </c>
      <c r="R92" s="5">
        <f t="shared" ref="R92:AG107" si="18">MROUND((($B92-$AH$2)*((R$2-$AH$2)/($B$2-$AH$2)))+$AH$2,0.01)</f>
        <v>9.96</v>
      </c>
      <c r="S92" s="5">
        <f t="shared" si="18"/>
        <v>9.02</v>
      </c>
      <c r="T92" s="5">
        <f t="shared" si="18"/>
        <v>6.98</v>
      </c>
      <c r="U92" s="5">
        <f t="shared" si="18"/>
        <v>4.93</v>
      </c>
      <c r="V92" s="5">
        <f t="shared" si="18"/>
        <v>4.63</v>
      </c>
      <c r="W92" s="5">
        <f t="shared" si="18"/>
        <v>3.73</v>
      </c>
      <c r="X92" s="5">
        <f t="shared" si="18"/>
        <v>3.27</v>
      </c>
      <c r="Y92" s="5">
        <f t="shared" si="18"/>
        <v>2.8</v>
      </c>
      <c r="Z92" s="5">
        <f t="shared" si="18"/>
        <v>2.72</v>
      </c>
      <c r="AA92" s="5">
        <f t="shared" si="18"/>
        <v>2.43</v>
      </c>
      <c r="AB92" s="5">
        <f t="shared" si="18"/>
        <v>1.99</v>
      </c>
      <c r="AC92" s="5">
        <f t="shared" si="18"/>
        <v>1.64</v>
      </c>
      <c r="AD92" s="5">
        <f t="shared" si="18"/>
        <v>1.58</v>
      </c>
      <c r="AE92" s="5">
        <f t="shared" si="18"/>
        <v>1.34</v>
      </c>
      <c r="AF92" s="5">
        <f t="shared" si="18"/>
        <v>1.27</v>
      </c>
      <c r="AG92" s="5">
        <f t="shared" si="18"/>
        <v>1.22</v>
      </c>
      <c r="AH92" s="5">
        <f t="shared" si="17"/>
        <v>1.04</v>
      </c>
      <c r="AI92" s="5">
        <f t="shared" si="17"/>
        <v>0.93</v>
      </c>
      <c r="AJ92" s="5">
        <f t="shared" si="17"/>
        <v>0.88</v>
      </c>
    </row>
    <row r="93" spans="1:36">
      <c r="A93" t="str">
        <f>"primary_archetype_"&amp;TEXT(ROUND(Table213[[#This Row],[2016]],1),"0.0")</f>
        <v>primary_archetype_21.2</v>
      </c>
      <c r="B93" s="5">
        <f t="shared" si="13"/>
        <v>21.2</v>
      </c>
      <c r="C93" s="5">
        <f t="shared" ref="C93:R108" si="19">MROUND((($B93-$AH$2)*((C$2-$AH$2)/($B$2-$AH$2)))+$AH$2,0.01)</f>
        <v>21.2</v>
      </c>
      <c r="D93" s="5">
        <f t="shared" si="19"/>
        <v>21.2</v>
      </c>
      <c r="E93" s="5">
        <f t="shared" si="19"/>
        <v>20.8</v>
      </c>
      <c r="F93" s="5">
        <f t="shared" si="19"/>
        <v>19.84</v>
      </c>
      <c r="G93" s="5">
        <f t="shared" si="19"/>
        <v>19.97</v>
      </c>
      <c r="H93" s="5">
        <f t="shared" si="19"/>
        <v>19.55</v>
      </c>
      <c r="I93" s="5">
        <f t="shared" si="19"/>
        <v>18.74</v>
      </c>
      <c r="J93" s="5">
        <f t="shared" si="19"/>
        <v>18.29</v>
      </c>
      <c r="K93" s="5">
        <f t="shared" si="19"/>
        <v>17.82</v>
      </c>
      <c r="L93" s="5">
        <f t="shared" si="19"/>
        <v>17.08</v>
      </c>
      <c r="M93" s="5">
        <f t="shared" si="19"/>
        <v>16.99</v>
      </c>
      <c r="N93" s="5">
        <f t="shared" si="19"/>
        <v>16.39</v>
      </c>
      <c r="O93" s="5">
        <f t="shared" si="19"/>
        <v>15.76</v>
      </c>
      <c r="P93" s="5">
        <f t="shared" si="19"/>
        <v>15.02</v>
      </c>
      <c r="Q93" s="5">
        <f t="shared" si="19"/>
        <v>12.85</v>
      </c>
      <c r="R93" s="5">
        <f t="shared" si="19"/>
        <v>9.92</v>
      </c>
      <c r="S93" s="5">
        <f t="shared" si="18"/>
        <v>8.99</v>
      </c>
      <c r="T93" s="5">
        <f t="shared" si="18"/>
        <v>6.95</v>
      </c>
      <c r="U93" s="5">
        <f t="shared" si="18"/>
        <v>4.91</v>
      </c>
      <c r="V93" s="5">
        <f t="shared" si="18"/>
        <v>4.61</v>
      </c>
      <c r="W93" s="5">
        <f t="shared" si="18"/>
        <v>3.72</v>
      </c>
      <c r="X93" s="5">
        <f t="shared" si="18"/>
        <v>3.26</v>
      </c>
      <c r="Y93" s="5">
        <f t="shared" si="18"/>
        <v>2.79</v>
      </c>
      <c r="Z93" s="5">
        <f t="shared" si="18"/>
        <v>2.71</v>
      </c>
      <c r="AA93" s="5">
        <f t="shared" si="18"/>
        <v>2.42</v>
      </c>
      <c r="AB93" s="5">
        <f t="shared" si="18"/>
        <v>1.99</v>
      </c>
      <c r="AC93" s="5">
        <f t="shared" si="18"/>
        <v>1.64</v>
      </c>
      <c r="AD93" s="5">
        <f t="shared" si="18"/>
        <v>1.58</v>
      </c>
      <c r="AE93" s="5">
        <f t="shared" si="18"/>
        <v>1.34</v>
      </c>
      <c r="AF93" s="5">
        <f t="shared" si="18"/>
        <v>1.27</v>
      </c>
      <c r="AG93" s="5">
        <f t="shared" si="18"/>
        <v>1.22</v>
      </c>
      <c r="AH93" s="5">
        <f t="shared" si="17"/>
        <v>1.04</v>
      </c>
      <c r="AI93" s="5">
        <f t="shared" si="17"/>
        <v>0.93</v>
      </c>
      <c r="AJ93" s="5">
        <f t="shared" si="17"/>
        <v>0.88</v>
      </c>
    </row>
    <row r="94" spans="1:36">
      <c r="A94" t="str">
        <f>"primary_archetype_"&amp;TEXT(ROUND(Table213[[#This Row],[2016]],1),"0.0")</f>
        <v>primary_archetype_21.1</v>
      </c>
      <c r="B94" s="5">
        <f t="shared" si="13"/>
        <v>21.1</v>
      </c>
      <c r="C94" s="5">
        <f t="shared" si="19"/>
        <v>21.1</v>
      </c>
      <c r="D94" s="5">
        <f t="shared" si="19"/>
        <v>21.1</v>
      </c>
      <c r="E94" s="5">
        <f t="shared" si="19"/>
        <v>20.7</v>
      </c>
      <c r="F94" s="5">
        <f t="shared" si="19"/>
        <v>19.74</v>
      </c>
      <c r="G94" s="5">
        <f t="shared" si="19"/>
        <v>19.88</v>
      </c>
      <c r="H94" s="5">
        <f t="shared" si="19"/>
        <v>19.46</v>
      </c>
      <c r="I94" s="5">
        <f t="shared" si="19"/>
        <v>18.65</v>
      </c>
      <c r="J94" s="5">
        <f t="shared" si="19"/>
        <v>18.2</v>
      </c>
      <c r="K94" s="5">
        <f t="shared" si="19"/>
        <v>17.74</v>
      </c>
      <c r="L94" s="5">
        <f t="shared" si="19"/>
        <v>17</v>
      </c>
      <c r="M94" s="5">
        <f t="shared" si="19"/>
        <v>16.91</v>
      </c>
      <c r="N94" s="5">
        <f t="shared" si="19"/>
        <v>16.31</v>
      </c>
      <c r="O94" s="5">
        <f t="shared" si="19"/>
        <v>15.69</v>
      </c>
      <c r="P94" s="5">
        <f t="shared" si="19"/>
        <v>14.95</v>
      </c>
      <c r="Q94" s="5">
        <f t="shared" si="19"/>
        <v>12.79</v>
      </c>
      <c r="R94" s="5">
        <f t="shared" si="19"/>
        <v>9.88</v>
      </c>
      <c r="S94" s="5">
        <f t="shared" si="18"/>
        <v>8.95</v>
      </c>
      <c r="T94" s="5">
        <f t="shared" si="18"/>
        <v>6.93</v>
      </c>
      <c r="U94" s="5">
        <f t="shared" si="18"/>
        <v>4.89</v>
      </c>
      <c r="V94" s="5">
        <f t="shared" si="18"/>
        <v>4.59</v>
      </c>
      <c r="W94" s="5">
        <f t="shared" si="18"/>
        <v>3.7</v>
      </c>
      <c r="X94" s="5">
        <f t="shared" si="18"/>
        <v>3.25</v>
      </c>
      <c r="Y94" s="5">
        <f t="shared" si="18"/>
        <v>2.78</v>
      </c>
      <c r="Z94" s="5">
        <f t="shared" si="18"/>
        <v>2.71</v>
      </c>
      <c r="AA94" s="5">
        <f t="shared" si="18"/>
        <v>2.41</v>
      </c>
      <c r="AB94" s="5">
        <f t="shared" si="18"/>
        <v>1.98</v>
      </c>
      <c r="AC94" s="5">
        <f t="shared" si="18"/>
        <v>1.63</v>
      </c>
      <c r="AD94" s="5">
        <f t="shared" si="18"/>
        <v>1.57</v>
      </c>
      <c r="AE94" s="5">
        <f t="shared" si="18"/>
        <v>1.34</v>
      </c>
      <c r="AF94" s="5">
        <f t="shared" si="18"/>
        <v>1.27</v>
      </c>
      <c r="AG94" s="5">
        <f t="shared" si="18"/>
        <v>1.22</v>
      </c>
      <c r="AH94" s="5">
        <f t="shared" si="17"/>
        <v>1.04</v>
      </c>
      <c r="AI94" s="5">
        <f t="shared" si="17"/>
        <v>0.93</v>
      </c>
      <c r="AJ94" s="5">
        <f t="shared" si="17"/>
        <v>0.88</v>
      </c>
    </row>
    <row r="95" spans="1:36">
      <c r="A95" t="str">
        <f>"primary_archetype_"&amp;TEXT(ROUND(Table213[[#This Row],[2016]],1),"0.0")</f>
        <v>primary_archetype_21.0</v>
      </c>
      <c r="B95" s="5">
        <f t="shared" si="13"/>
        <v>21</v>
      </c>
      <c r="C95" s="5">
        <f t="shared" si="19"/>
        <v>21</v>
      </c>
      <c r="D95" s="5">
        <f t="shared" si="19"/>
        <v>21</v>
      </c>
      <c r="E95" s="5">
        <f t="shared" si="19"/>
        <v>20.6</v>
      </c>
      <c r="F95" s="5">
        <f t="shared" si="19"/>
        <v>19.65</v>
      </c>
      <c r="G95" s="5">
        <f t="shared" si="19"/>
        <v>19.78</v>
      </c>
      <c r="H95" s="5">
        <f t="shared" si="19"/>
        <v>19.37</v>
      </c>
      <c r="I95" s="5">
        <f t="shared" si="19"/>
        <v>18.57</v>
      </c>
      <c r="J95" s="5">
        <f t="shared" si="19"/>
        <v>18.12</v>
      </c>
      <c r="K95" s="5">
        <f t="shared" si="19"/>
        <v>17.65</v>
      </c>
      <c r="L95" s="5">
        <f t="shared" si="19"/>
        <v>16.92</v>
      </c>
      <c r="M95" s="5">
        <f t="shared" si="19"/>
        <v>16.83</v>
      </c>
      <c r="N95" s="5">
        <f t="shared" si="19"/>
        <v>16.24</v>
      </c>
      <c r="O95" s="5">
        <f t="shared" si="19"/>
        <v>15.62</v>
      </c>
      <c r="P95" s="5">
        <f t="shared" si="19"/>
        <v>14.88</v>
      </c>
      <c r="Q95" s="5">
        <f t="shared" si="19"/>
        <v>12.73</v>
      </c>
      <c r="R95" s="5">
        <f t="shared" si="19"/>
        <v>9.83</v>
      </c>
      <c r="S95" s="5">
        <f t="shared" si="18"/>
        <v>8.91</v>
      </c>
      <c r="T95" s="5">
        <f t="shared" si="18"/>
        <v>6.9</v>
      </c>
      <c r="U95" s="5">
        <f t="shared" si="18"/>
        <v>4.87</v>
      </c>
      <c r="V95" s="5">
        <f t="shared" si="18"/>
        <v>4.58</v>
      </c>
      <c r="W95" s="5">
        <f t="shared" si="18"/>
        <v>3.69</v>
      </c>
      <c r="X95" s="5">
        <f t="shared" si="18"/>
        <v>3.24</v>
      </c>
      <c r="Y95" s="5">
        <f t="shared" si="18"/>
        <v>2.77</v>
      </c>
      <c r="Z95" s="5">
        <f t="shared" si="18"/>
        <v>2.7</v>
      </c>
      <c r="AA95" s="5">
        <f t="shared" si="18"/>
        <v>2.41</v>
      </c>
      <c r="AB95" s="5">
        <f t="shared" si="18"/>
        <v>1.98</v>
      </c>
      <c r="AC95" s="5">
        <f t="shared" si="18"/>
        <v>1.63</v>
      </c>
      <c r="AD95" s="5">
        <f t="shared" si="18"/>
        <v>1.57</v>
      </c>
      <c r="AE95" s="5">
        <f t="shared" si="18"/>
        <v>1.34</v>
      </c>
      <c r="AF95" s="5">
        <f t="shared" si="18"/>
        <v>1.27</v>
      </c>
      <c r="AG95" s="5">
        <f t="shared" si="18"/>
        <v>1.22</v>
      </c>
      <c r="AH95" s="5">
        <f t="shared" si="17"/>
        <v>1.04</v>
      </c>
      <c r="AI95" s="5">
        <f t="shared" si="17"/>
        <v>0.93</v>
      </c>
      <c r="AJ95" s="5">
        <f t="shared" si="17"/>
        <v>0.88</v>
      </c>
    </row>
    <row r="96" spans="1:36">
      <c r="A96" t="str">
        <f>"primary_archetype_"&amp;TEXT(ROUND(Table213[[#This Row],[2016]],1),"0.0")</f>
        <v>primary_archetype_20.9</v>
      </c>
      <c r="B96" s="5">
        <f t="shared" si="13"/>
        <v>20.9</v>
      </c>
      <c r="C96" s="5">
        <f t="shared" si="19"/>
        <v>20.9</v>
      </c>
      <c r="D96" s="5">
        <f t="shared" si="19"/>
        <v>20.9</v>
      </c>
      <c r="E96" s="5">
        <f t="shared" si="19"/>
        <v>20.51</v>
      </c>
      <c r="F96" s="5">
        <f t="shared" si="19"/>
        <v>19.56</v>
      </c>
      <c r="G96" s="5">
        <f t="shared" si="19"/>
        <v>19.69</v>
      </c>
      <c r="H96" s="5">
        <f t="shared" si="19"/>
        <v>19.28</v>
      </c>
      <c r="I96" s="5">
        <f t="shared" si="19"/>
        <v>18.48</v>
      </c>
      <c r="J96" s="5">
        <f t="shared" si="19"/>
        <v>18.03</v>
      </c>
      <c r="K96" s="5">
        <f t="shared" si="19"/>
        <v>17.57</v>
      </c>
      <c r="L96" s="5">
        <f t="shared" si="19"/>
        <v>16.84</v>
      </c>
      <c r="M96" s="5">
        <f t="shared" si="19"/>
        <v>16.76</v>
      </c>
      <c r="N96" s="5">
        <f t="shared" si="19"/>
        <v>16.16</v>
      </c>
      <c r="O96" s="5">
        <f t="shared" si="19"/>
        <v>15.54</v>
      </c>
      <c r="P96" s="5">
        <f t="shared" si="19"/>
        <v>14.81</v>
      </c>
      <c r="Q96" s="5">
        <f t="shared" si="19"/>
        <v>12.67</v>
      </c>
      <c r="R96" s="5">
        <f t="shared" si="19"/>
        <v>9.79</v>
      </c>
      <c r="S96" s="5">
        <f t="shared" si="18"/>
        <v>8.87</v>
      </c>
      <c r="T96" s="5">
        <f t="shared" si="18"/>
        <v>6.87</v>
      </c>
      <c r="U96" s="5">
        <f t="shared" si="18"/>
        <v>4.85</v>
      </c>
      <c r="V96" s="5">
        <f t="shared" si="18"/>
        <v>4.56</v>
      </c>
      <c r="W96" s="5">
        <f t="shared" si="18"/>
        <v>3.68</v>
      </c>
      <c r="X96" s="5">
        <f t="shared" si="18"/>
        <v>3.23</v>
      </c>
      <c r="Y96" s="5">
        <f t="shared" si="18"/>
        <v>2.76</v>
      </c>
      <c r="Z96" s="5">
        <f t="shared" si="18"/>
        <v>2.69</v>
      </c>
      <c r="AA96" s="5">
        <f t="shared" si="18"/>
        <v>2.4</v>
      </c>
      <c r="AB96" s="5">
        <f t="shared" si="18"/>
        <v>1.97</v>
      </c>
      <c r="AC96" s="5">
        <f t="shared" si="18"/>
        <v>1.63</v>
      </c>
      <c r="AD96" s="5">
        <f t="shared" si="18"/>
        <v>1.57</v>
      </c>
      <c r="AE96" s="5">
        <f t="shared" si="18"/>
        <v>1.33</v>
      </c>
      <c r="AF96" s="5">
        <f t="shared" si="18"/>
        <v>1.27</v>
      </c>
      <c r="AG96" s="5">
        <f t="shared" si="18"/>
        <v>1.22</v>
      </c>
      <c r="AH96" s="5">
        <f t="shared" si="17"/>
        <v>1.04</v>
      </c>
      <c r="AI96" s="5">
        <f t="shared" si="17"/>
        <v>0.93</v>
      </c>
      <c r="AJ96" s="5">
        <f t="shared" si="17"/>
        <v>0.88</v>
      </c>
    </row>
    <row r="97" spans="1:36">
      <c r="A97" t="str">
        <f>"primary_archetype_"&amp;TEXT(ROUND(Table213[[#This Row],[2016]],1),"0.0")</f>
        <v>primary_archetype_20.8</v>
      </c>
      <c r="B97" s="5">
        <f t="shared" si="13"/>
        <v>20.8</v>
      </c>
      <c r="C97" s="5">
        <f t="shared" si="19"/>
        <v>20.8</v>
      </c>
      <c r="D97" s="5">
        <f t="shared" si="19"/>
        <v>20.8</v>
      </c>
      <c r="E97" s="5">
        <f t="shared" si="19"/>
        <v>20.41</v>
      </c>
      <c r="F97" s="5">
        <f t="shared" si="19"/>
        <v>19.46</v>
      </c>
      <c r="G97" s="5">
        <f t="shared" si="19"/>
        <v>19.6</v>
      </c>
      <c r="H97" s="5">
        <f t="shared" si="19"/>
        <v>19.19</v>
      </c>
      <c r="I97" s="5">
        <f t="shared" si="19"/>
        <v>18.39</v>
      </c>
      <c r="J97" s="5">
        <f t="shared" si="19"/>
        <v>17.95</v>
      </c>
      <c r="K97" s="5">
        <f t="shared" si="19"/>
        <v>17.49</v>
      </c>
      <c r="L97" s="5">
        <f t="shared" si="19"/>
        <v>16.76</v>
      </c>
      <c r="M97" s="5">
        <f t="shared" si="19"/>
        <v>16.68</v>
      </c>
      <c r="N97" s="5">
        <f t="shared" si="19"/>
        <v>16.08</v>
      </c>
      <c r="O97" s="5">
        <f t="shared" si="19"/>
        <v>15.47</v>
      </c>
      <c r="P97" s="5">
        <f t="shared" si="19"/>
        <v>14.74</v>
      </c>
      <c r="Q97" s="5">
        <f t="shared" si="19"/>
        <v>12.61</v>
      </c>
      <c r="R97" s="5">
        <f t="shared" si="19"/>
        <v>9.74</v>
      </c>
      <c r="S97" s="5">
        <f t="shared" si="18"/>
        <v>8.83</v>
      </c>
      <c r="T97" s="5">
        <f t="shared" si="18"/>
        <v>6.84</v>
      </c>
      <c r="U97" s="5">
        <f t="shared" si="18"/>
        <v>4.83</v>
      </c>
      <c r="V97" s="5">
        <f t="shared" si="18"/>
        <v>4.54</v>
      </c>
      <c r="W97" s="5">
        <f t="shared" si="18"/>
        <v>3.66</v>
      </c>
      <c r="X97" s="5">
        <f t="shared" si="18"/>
        <v>3.22</v>
      </c>
      <c r="Y97" s="5">
        <f t="shared" si="18"/>
        <v>2.75</v>
      </c>
      <c r="Z97" s="5">
        <f t="shared" si="18"/>
        <v>2.68</v>
      </c>
      <c r="AA97" s="5">
        <f t="shared" si="18"/>
        <v>2.39</v>
      </c>
      <c r="AB97" s="5">
        <f t="shared" si="18"/>
        <v>1.97</v>
      </c>
      <c r="AC97" s="5">
        <f t="shared" si="18"/>
        <v>1.62</v>
      </c>
      <c r="AD97" s="5">
        <f t="shared" si="18"/>
        <v>1.57</v>
      </c>
      <c r="AE97" s="5">
        <f t="shared" si="18"/>
        <v>1.33</v>
      </c>
      <c r="AF97" s="5">
        <f t="shared" si="18"/>
        <v>1.27</v>
      </c>
      <c r="AG97" s="5">
        <f t="shared" si="18"/>
        <v>1.22</v>
      </c>
      <c r="AH97" s="5">
        <f t="shared" si="17"/>
        <v>1.04</v>
      </c>
      <c r="AI97" s="5">
        <f t="shared" si="17"/>
        <v>0.93</v>
      </c>
      <c r="AJ97" s="5">
        <f t="shared" si="17"/>
        <v>0.88</v>
      </c>
    </row>
    <row r="98" spans="1:36">
      <c r="A98" t="str">
        <f>"primary_archetype_"&amp;TEXT(ROUND(Table213[[#This Row],[2016]],1),"0.0")</f>
        <v>primary_archetype_20.7</v>
      </c>
      <c r="B98" s="5">
        <f t="shared" si="13"/>
        <v>20.7</v>
      </c>
      <c r="C98" s="5">
        <f t="shared" si="19"/>
        <v>20.7</v>
      </c>
      <c r="D98" s="5">
        <f t="shared" si="19"/>
        <v>20.7</v>
      </c>
      <c r="E98" s="5">
        <f t="shared" si="19"/>
        <v>20.31</v>
      </c>
      <c r="F98" s="5">
        <f t="shared" si="19"/>
        <v>19.37</v>
      </c>
      <c r="G98" s="5">
        <f t="shared" si="19"/>
        <v>19.5</v>
      </c>
      <c r="H98" s="5">
        <f t="shared" si="19"/>
        <v>19.09</v>
      </c>
      <c r="I98" s="5">
        <f t="shared" si="19"/>
        <v>18.3</v>
      </c>
      <c r="J98" s="5">
        <f t="shared" si="19"/>
        <v>17.86</v>
      </c>
      <c r="K98" s="5">
        <f t="shared" si="19"/>
        <v>17.4</v>
      </c>
      <c r="L98" s="5">
        <f t="shared" si="19"/>
        <v>16.68</v>
      </c>
      <c r="M98" s="5">
        <f t="shared" si="19"/>
        <v>16.6</v>
      </c>
      <c r="N98" s="5">
        <f t="shared" si="19"/>
        <v>16.01</v>
      </c>
      <c r="O98" s="5">
        <f t="shared" si="19"/>
        <v>15.4</v>
      </c>
      <c r="P98" s="5">
        <f t="shared" si="19"/>
        <v>14.67</v>
      </c>
      <c r="Q98" s="5">
        <f t="shared" si="19"/>
        <v>12.56</v>
      </c>
      <c r="R98" s="5">
        <f t="shared" si="19"/>
        <v>9.7</v>
      </c>
      <c r="S98" s="5">
        <f t="shared" si="18"/>
        <v>8.79</v>
      </c>
      <c r="T98" s="5">
        <f t="shared" si="18"/>
        <v>6.81</v>
      </c>
      <c r="U98" s="5">
        <f t="shared" si="18"/>
        <v>4.81</v>
      </c>
      <c r="V98" s="5">
        <f t="shared" si="18"/>
        <v>4.52</v>
      </c>
      <c r="W98" s="5">
        <f t="shared" si="18"/>
        <v>3.65</v>
      </c>
      <c r="X98" s="5">
        <f t="shared" si="18"/>
        <v>3.21</v>
      </c>
      <c r="Y98" s="5">
        <f t="shared" si="18"/>
        <v>2.74</v>
      </c>
      <c r="Z98" s="5">
        <f t="shared" si="18"/>
        <v>2.67</v>
      </c>
      <c r="AA98" s="5">
        <f t="shared" si="18"/>
        <v>2.38</v>
      </c>
      <c r="AB98" s="5">
        <f t="shared" si="18"/>
        <v>1.96</v>
      </c>
      <c r="AC98" s="5">
        <f t="shared" si="18"/>
        <v>1.62</v>
      </c>
      <c r="AD98" s="5">
        <f t="shared" si="18"/>
        <v>1.56</v>
      </c>
      <c r="AE98" s="5">
        <f t="shared" si="18"/>
        <v>1.33</v>
      </c>
      <c r="AF98" s="5">
        <f t="shared" si="18"/>
        <v>1.27</v>
      </c>
      <c r="AG98" s="5">
        <f t="shared" si="18"/>
        <v>1.22</v>
      </c>
      <c r="AH98" s="5">
        <f t="shared" si="17"/>
        <v>1.04</v>
      </c>
      <c r="AI98" s="5">
        <f t="shared" si="17"/>
        <v>0.93</v>
      </c>
      <c r="AJ98" s="5">
        <f t="shared" si="17"/>
        <v>0.89</v>
      </c>
    </row>
    <row r="99" spans="1:36">
      <c r="A99" t="str">
        <f>"primary_archetype_"&amp;TEXT(ROUND(Table213[[#This Row],[2016]],1),"0.0")</f>
        <v>primary_archetype_20.6</v>
      </c>
      <c r="B99" s="5">
        <f t="shared" si="13"/>
        <v>20.6</v>
      </c>
      <c r="C99" s="5">
        <f t="shared" si="19"/>
        <v>20.6</v>
      </c>
      <c r="D99" s="5">
        <f t="shared" si="19"/>
        <v>20.6</v>
      </c>
      <c r="E99" s="5">
        <f t="shared" si="19"/>
        <v>20.21</v>
      </c>
      <c r="F99" s="5">
        <f t="shared" si="19"/>
        <v>19.28</v>
      </c>
      <c r="G99" s="5">
        <f t="shared" si="19"/>
        <v>19.41</v>
      </c>
      <c r="H99" s="5">
        <f t="shared" si="19"/>
        <v>19</v>
      </c>
      <c r="I99" s="5">
        <f t="shared" si="19"/>
        <v>18.22</v>
      </c>
      <c r="J99" s="5">
        <f t="shared" si="19"/>
        <v>17.77</v>
      </c>
      <c r="K99" s="5">
        <f t="shared" si="19"/>
        <v>17.32</v>
      </c>
      <c r="L99" s="5">
        <f t="shared" si="19"/>
        <v>16.6</v>
      </c>
      <c r="M99" s="5">
        <f t="shared" si="19"/>
        <v>16.52</v>
      </c>
      <c r="N99" s="5">
        <f t="shared" si="19"/>
        <v>15.93</v>
      </c>
      <c r="O99" s="5">
        <f t="shared" si="19"/>
        <v>15.32</v>
      </c>
      <c r="P99" s="5">
        <f t="shared" si="19"/>
        <v>14.6</v>
      </c>
      <c r="Q99" s="5">
        <f t="shared" si="19"/>
        <v>12.5</v>
      </c>
      <c r="R99" s="5">
        <f t="shared" si="19"/>
        <v>9.66</v>
      </c>
      <c r="S99" s="5">
        <f t="shared" si="18"/>
        <v>8.75</v>
      </c>
      <c r="T99" s="5">
        <f t="shared" si="18"/>
        <v>6.78</v>
      </c>
      <c r="U99" s="5">
        <f t="shared" si="18"/>
        <v>4.79</v>
      </c>
      <c r="V99" s="5">
        <f t="shared" si="18"/>
        <v>4.51</v>
      </c>
      <c r="W99" s="5">
        <f t="shared" si="18"/>
        <v>3.64</v>
      </c>
      <c r="X99" s="5">
        <f t="shared" si="18"/>
        <v>3.19</v>
      </c>
      <c r="Y99" s="5">
        <f t="shared" si="18"/>
        <v>2.74</v>
      </c>
      <c r="Z99" s="5">
        <f t="shared" si="18"/>
        <v>2.66</v>
      </c>
      <c r="AA99" s="5">
        <f t="shared" si="18"/>
        <v>2.38</v>
      </c>
      <c r="AB99" s="5">
        <f t="shared" si="18"/>
        <v>1.96</v>
      </c>
      <c r="AC99" s="5">
        <f t="shared" si="18"/>
        <v>1.62</v>
      </c>
      <c r="AD99" s="5">
        <f t="shared" si="18"/>
        <v>1.56</v>
      </c>
      <c r="AE99" s="5">
        <f t="shared" si="18"/>
        <v>1.33</v>
      </c>
      <c r="AF99" s="5">
        <f t="shared" si="18"/>
        <v>1.27</v>
      </c>
      <c r="AG99" s="5">
        <f t="shared" si="18"/>
        <v>1.22</v>
      </c>
      <c r="AH99" s="5">
        <f t="shared" si="17"/>
        <v>1.04</v>
      </c>
      <c r="AI99" s="5">
        <f t="shared" si="17"/>
        <v>0.93</v>
      </c>
      <c r="AJ99" s="5">
        <f t="shared" si="17"/>
        <v>0.89</v>
      </c>
    </row>
    <row r="100" spans="1:36">
      <c r="A100" t="str">
        <f>"primary_archetype_"&amp;TEXT(ROUND(Table213[[#This Row],[2016]],1),"0.0")</f>
        <v>primary_archetype_20.5</v>
      </c>
      <c r="B100" s="5">
        <f t="shared" si="13"/>
        <v>20.5</v>
      </c>
      <c r="C100" s="5">
        <f t="shared" si="19"/>
        <v>20.5</v>
      </c>
      <c r="D100" s="5">
        <f t="shared" si="19"/>
        <v>20.5</v>
      </c>
      <c r="E100" s="5">
        <f t="shared" si="19"/>
        <v>20.11</v>
      </c>
      <c r="F100" s="5">
        <f t="shared" si="19"/>
        <v>19.18</v>
      </c>
      <c r="G100" s="5">
        <f t="shared" si="19"/>
        <v>19.31</v>
      </c>
      <c r="H100" s="5">
        <f t="shared" si="19"/>
        <v>18.91</v>
      </c>
      <c r="I100" s="5">
        <f t="shared" si="19"/>
        <v>18.13</v>
      </c>
      <c r="J100" s="5">
        <f t="shared" si="19"/>
        <v>17.69</v>
      </c>
      <c r="K100" s="5">
        <f t="shared" si="19"/>
        <v>17.24</v>
      </c>
      <c r="L100" s="5">
        <f t="shared" si="19"/>
        <v>16.53</v>
      </c>
      <c r="M100" s="5">
        <f t="shared" si="19"/>
        <v>16.44</v>
      </c>
      <c r="N100" s="5">
        <f t="shared" si="19"/>
        <v>15.86</v>
      </c>
      <c r="O100" s="5">
        <f t="shared" si="19"/>
        <v>15.25</v>
      </c>
      <c r="P100" s="5">
        <f t="shared" si="19"/>
        <v>14.53</v>
      </c>
      <c r="Q100" s="5">
        <f t="shared" si="19"/>
        <v>12.44</v>
      </c>
      <c r="R100" s="5">
        <f t="shared" si="19"/>
        <v>9.61</v>
      </c>
      <c r="S100" s="5">
        <f t="shared" si="18"/>
        <v>8.71</v>
      </c>
      <c r="T100" s="5">
        <f t="shared" si="18"/>
        <v>6.75</v>
      </c>
      <c r="U100" s="5">
        <f t="shared" si="18"/>
        <v>4.77</v>
      </c>
      <c r="V100" s="5">
        <f t="shared" si="18"/>
        <v>4.49</v>
      </c>
      <c r="W100" s="5">
        <f t="shared" si="18"/>
        <v>3.62</v>
      </c>
      <c r="X100" s="5">
        <f t="shared" si="18"/>
        <v>3.18</v>
      </c>
      <c r="Y100" s="5">
        <f t="shared" si="18"/>
        <v>2.73</v>
      </c>
      <c r="Z100" s="5">
        <f t="shared" si="18"/>
        <v>2.66</v>
      </c>
      <c r="AA100" s="5">
        <f t="shared" si="18"/>
        <v>2.37</v>
      </c>
      <c r="AB100" s="5">
        <f t="shared" si="18"/>
        <v>1.96</v>
      </c>
      <c r="AC100" s="5">
        <f t="shared" si="18"/>
        <v>1.61</v>
      </c>
      <c r="AD100" s="5">
        <f t="shared" si="18"/>
        <v>1.56</v>
      </c>
      <c r="AE100" s="5">
        <f t="shared" si="18"/>
        <v>1.33</v>
      </c>
      <c r="AF100" s="5">
        <f t="shared" si="18"/>
        <v>1.26</v>
      </c>
      <c r="AG100" s="5">
        <f t="shared" si="18"/>
        <v>1.22</v>
      </c>
      <c r="AH100" s="5">
        <f t="shared" si="17"/>
        <v>1.04</v>
      </c>
      <c r="AI100" s="5">
        <f t="shared" si="17"/>
        <v>0.94</v>
      </c>
      <c r="AJ100" s="5">
        <f t="shared" si="17"/>
        <v>0.89</v>
      </c>
    </row>
    <row r="101" spans="1:36">
      <c r="A101" t="str">
        <f>"primary_archetype_"&amp;TEXT(ROUND(Table213[[#This Row],[2016]],1),"0.0")</f>
        <v>primary_archetype_20.4</v>
      </c>
      <c r="B101" s="5">
        <f t="shared" si="13"/>
        <v>20.4</v>
      </c>
      <c r="C101" s="5">
        <f t="shared" si="19"/>
        <v>20.4</v>
      </c>
      <c r="D101" s="5">
        <f t="shared" si="19"/>
        <v>20.4</v>
      </c>
      <c r="E101" s="5">
        <f t="shared" si="19"/>
        <v>20.02</v>
      </c>
      <c r="F101" s="5">
        <f t="shared" si="19"/>
        <v>19.09</v>
      </c>
      <c r="G101" s="5">
        <f t="shared" si="19"/>
        <v>19.22</v>
      </c>
      <c r="H101" s="5">
        <f t="shared" si="19"/>
        <v>18.82</v>
      </c>
      <c r="I101" s="5">
        <f t="shared" si="19"/>
        <v>18.04</v>
      </c>
      <c r="J101" s="5">
        <f t="shared" si="19"/>
        <v>17.6</v>
      </c>
      <c r="K101" s="5">
        <f t="shared" si="19"/>
        <v>17.15</v>
      </c>
      <c r="L101" s="5">
        <f t="shared" si="19"/>
        <v>16.45</v>
      </c>
      <c r="M101" s="5">
        <f t="shared" si="19"/>
        <v>16.36</v>
      </c>
      <c r="N101" s="5">
        <f t="shared" si="19"/>
        <v>15.78</v>
      </c>
      <c r="O101" s="5">
        <f t="shared" si="19"/>
        <v>15.18</v>
      </c>
      <c r="P101" s="5">
        <f t="shared" si="19"/>
        <v>14.47</v>
      </c>
      <c r="Q101" s="5">
        <f t="shared" si="19"/>
        <v>12.38</v>
      </c>
      <c r="R101" s="5">
        <f t="shared" si="19"/>
        <v>9.57</v>
      </c>
      <c r="S101" s="5">
        <f t="shared" si="18"/>
        <v>8.67</v>
      </c>
      <c r="T101" s="5">
        <f t="shared" si="18"/>
        <v>6.72</v>
      </c>
      <c r="U101" s="5">
        <f t="shared" si="18"/>
        <v>4.76</v>
      </c>
      <c r="V101" s="5">
        <f t="shared" si="18"/>
        <v>4.47</v>
      </c>
      <c r="W101" s="5">
        <f t="shared" si="18"/>
        <v>3.61</v>
      </c>
      <c r="X101" s="5">
        <f t="shared" si="18"/>
        <v>3.17</v>
      </c>
      <c r="Y101" s="5">
        <f t="shared" si="18"/>
        <v>2.72</v>
      </c>
      <c r="Z101" s="5">
        <f t="shared" si="18"/>
        <v>2.65</v>
      </c>
      <c r="AA101" s="5">
        <f t="shared" si="18"/>
        <v>2.36</v>
      </c>
      <c r="AB101" s="5">
        <f t="shared" si="18"/>
        <v>1.95</v>
      </c>
      <c r="AC101" s="5">
        <f t="shared" si="18"/>
        <v>1.61</v>
      </c>
      <c r="AD101" s="5">
        <f t="shared" si="18"/>
        <v>1.56</v>
      </c>
      <c r="AE101" s="5">
        <f t="shared" si="18"/>
        <v>1.33</v>
      </c>
      <c r="AF101" s="5">
        <f t="shared" si="18"/>
        <v>1.26</v>
      </c>
      <c r="AG101" s="5">
        <f t="shared" si="18"/>
        <v>1.22</v>
      </c>
      <c r="AH101" s="5">
        <f t="shared" si="17"/>
        <v>1.04</v>
      </c>
      <c r="AI101" s="5">
        <f t="shared" si="17"/>
        <v>0.94</v>
      </c>
      <c r="AJ101" s="5">
        <f t="shared" si="17"/>
        <v>0.89</v>
      </c>
    </row>
    <row r="102" spans="1:36">
      <c r="A102" t="str">
        <f>"primary_archetype_"&amp;TEXT(ROUND(Table213[[#This Row],[2016]],1),"0.0")</f>
        <v>primary_archetype_20.3</v>
      </c>
      <c r="B102" s="5">
        <f t="shared" si="13"/>
        <v>20.3</v>
      </c>
      <c r="C102" s="5">
        <f t="shared" si="19"/>
        <v>20.3</v>
      </c>
      <c r="D102" s="5">
        <f t="shared" si="19"/>
        <v>20.3</v>
      </c>
      <c r="E102" s="5">
        <f t="shared" si="19"/>
        <v>19.92</v>
      </c>
      <c r="F102" s="5">
        <f t="shared" si="19"/>
        <v>19</v>
      </c>
      <c r="G102" s="5">
        <f t="shared" si="19"/>
        <v>19.13</v>
      </c>
      <c r="H102" s="5">
        <f t="shared" si="19"/>
        <v>18.73</v>
      </c>
      <c r="I102" s="5">
        <f t="shared" si="19"/>
        <v>17.95</v>
      </c>
      <c r="J102" s="5">
        <f t="shared" si="19"/>
        <v>17.52</v>
      </c>
      <c r="K102" s="5">
        <f t="shared" si="19"/>
        <v>17.07</v>
      </c>
      <c r="L102" s="5">
        <f t="shared" si="19"/>
        <v>16.37</v>
      </c>
      <c r="M102" s="5">
        <f t="shared" si="19"/>
        <v>16.28</v>
      </c>
      <c r="N102" s="5">
        <f t="shared" si="19"/>
        <v>15.7</v>
      </c>
      <c r="O102" s="5">
        <f t="shared" si="19"/>
        <v>15.1</v>
      </c>
      <c r="P102" s="5">
        <f t="shared" si="19"/>
        <v>14.4</v>
      </c>
      <c r="Q102" s="5">
        <f t="shared" si="19"/>
        <v>12.32</v>
      </c>
      <c r="R102" s="5">
        <f t="shared" si="19"/>
        <v>9.52</v>
      </c>
      <c r="S102" s="5">
        <f t="shared" si="18"/>
        <v>8.63</v>
      </c>
      <c r="T102" s="5">
        <f t="shared" si="18"/>
        <v>6.69</v>
      </c>
      <c r="U102" s="5">
        <f t="shared" si="18"/>
        <v>4.74</v>
      </c>
      <c r="V102" s="5">
        <f t="shared" si="18"/>
        <v>4.45</v>
      </c>
      <c r="W102" s="5">
        <f t="shared" si="18"/>
        <v>3.6</v>
      </c>
      <c r="X102" s="5">
        <f t="shared" si="18"/>
        <v>3.16</v>
      </c>
      <c r="Y102" s="5">
        <f t="shared" si="18"/>
        <v>2.71</v>
      </c>
      <c r="Z102" s="5">
        <f t="shared" si="18"/>
        <v>2.64</v>
      </c>
      <c r="AA102" s="5">
        <f t="shared" si="18"/>
        <v>2.36</v>
      </c>
      <c r="AB102" s="5">
        <f t="shared" si="18"/>
        <v>1.95</v>
      </c>
      <c r="AC102" s="5">
        <f t="shared" si="18"/>
        <v>1.61</v>
      </c>
      <c r="AD102" s="5">
        <f t="shared" si="18"/>
        <v>1.55</v>
      </c>
      <c r="AE102" s="5">
        <f t="shared" si="18"/>
        <v>1.33</v>
      </c>
      <c r="AF102" s="5">
        <f t="shared" si="18"/>
        <v>1.26</v>
      </c>
      <c r="AG102" s="5">
        <f t="shared" si="18"/>
        <v>1.21</v>
      </c>
      <c r="AH102" s="5">
        <f t="shared" si="17"/>
        <v>1.04</v>
      </c>
      <c r="AI102" s="5">
        <f t="shared" si="17"/>
        <v>0.94</v>
      </c>
      <c r="AJ102" s="5">
        <f t="shared" si="17"/>
        <v>0.89</v>
      </c>
    </row>
    <row r="103" spans="1:36">
      <c r="A103" t="str">
        <f>"primary_archetype_"&amp;TEXT(ROUND(Table213[[#This Row],[2016]],1),"0.0")</f>
        <v>primary_archetype_20.2</v>
      </c>
      <c r="B103" s="5">
        <f t="shared" si="13"/>
        <v>20.2</v>
      </c>
      <c r="C103" s="5">
        <f t="shared" si="19"/>
        <v>20.2</v>
      </c>
      <c r="D103" s="5">
        <f t="shared" si="19"/>
        <v>20.2</v>
      </c>
      <c r="E103" s="5">
        <f t="shared" si="19"/>
        <v>19.82</v>
      </c>
      <c r="F103" s="5">
        <f t="shared" si="19"/>
        <v>18.9</v>
      </c>
      <c r="G103" s="5">
        <f t="shared" si="19"/>
        <v>19.03</v>
      </c>
      <c r="H103" s="5">
        <f t="shared" si="19"/>
        <v>18.63</v>
      </c>
      <c r="I103" s="5">
        <f t="shared" si="19"/>
        <v>17.86</v>
      </c>
      <c r="J103" s="5">
        <f t="shared" si="19"/>
        <v>17.43</v>
      </c>
      <c r="K103" s="5">
        <f t="shared" si="19"/>
        <v>16.99</v>
      </c>
      <c r="L103" s="5">
        <f t="shared" si="19"/>
        <v>16.29</v>
      </c>
      <c r="M103" s="5">
        <f t="shared" si="19"/>
        <v>16.2</v>
      </c>
      <c r="N103" s="5">
        <f t="shared" si="19"/>
        <v>15.63</v>
      </c>
      <c r="O103" s="5">
        <f t="shared" si="19"/>
        <v>15.03</v>
      </c>
      <c r="P103" s="5">
        <f t="shared" si="19"/>
        <v>14.33</v>
      </c>
      <c r="Q103" s="5">
        <f t="shared" si="19"/>
        <v>12.26</v>
      </c>
      <c r="R103" s="5">
        <f t="shared" si="19"/>
        <v>9.48</v>
      </c>
      <c r="S103" s="5">
        <f t="shared" si="18"/>
        <v>8.59</v>
      </c>
      <c r="T103" s="5">
        <f t="shared" si="18"/>
        <v>6.66</v>
      </c>
      <c r="U103" s="5">
        <f t="shared" si="18"/>
        <v>4.72</v>
      </c>
      <c r="V103" s="5">
        <f t="shared" si="18"/>
        <v>4.43</v>
      </c>
      <c r="W103" s="5">
        <f t="shared" si="18"/>
        <v>3.58</v>
      </c>
      <c r="X103" s="5">
        <f t="shared" si="18"/>
        <v>3.15</v>
      </c>
      <c r="Y103" s="5">
        <f t="shared" si="18"/>
        <v>2.7</v>
      </c>
      <c r="Z103" s="5">
        <f t="shared" si="18"/>
        <v>2.63</v>
      </c>
      <c r="AA103" s="5">
        <f t="shared" si="18"/>
        <v>2.35</v>
      </c>
      <c r="AB103" s="5">
        <f t="shared" si="18"/>
        <v>1.94</v>
      </c>
      <c r="AC103" s="5">
        <f t="shared" si="18"/>
        <v>1.61</v>
      </c>
      <c r="AD103" s="5">
        <f t="shared" si="18"/>
        <v>1.55</v>
      </c>
      <c r="AE103" s="5">
        <f t="shared" si="18"/>
        <v>1.32</v>
      </c>
      <c r="AF103" s="5">
        <f t="shared" si="18"/>
        <v>1.26</v>
      </c>
      <c r="AG103" s="5">
        <f t="shared" si="18"/>
        <v>1.21</v>
      </c>
      <c r="AH103" s="5">
        <f t="shared" si="17"/>
        <v>1.04</v>
      </c>
      <c r="AI103" s="5">
        <f t="shared" si="17"/>
        <v>0.94</v>
      </c>
      <c r="AJ103" s="5">
        <f t="shared" si="17"/>
        <v>0.89</v>
      </c>
    </row>
    <row r="104" spans="1:36">
      <c r="A104" t="str">
        <f>"primary_archetype_"&amp;TEXT(ROUND(Table213[[#This Row],[2016]],1),"0.0")</f>
        <v>primary_archetype_20.1</v>
      </c>
      <c r="B104" s="5">
        <f t="shared" si="13"/>
        <v>20.1</v>
      </c>
      <c r="C104" s="5">
        <f t="shared" si="19"/>
        <v>20.1</v>
      </c>
      <c r="D104" s="5">
        <f t="shared" si="19"/>
        <v>20.1</v>
      </c>
      <c r="E104" s="5">
        <f t="shared" si="19"/>
        <v>19.72</v>
      </c>
      <c r="F104" s="5">
        <f t="shared" si="19"/>
        <v>18.81</v>
      </c>
      <c r="G104" s="5">
        <f t="shared" si="19"/>
        <v>18.94</v>
      </c>
      <c r="H104" s="5">
        <f t="shared" si="19"/>
        <v>18.54</v>
      </c>
      <c r="I104" s="5">
        <f t="shared" si="19"/>
        <v>17.78</v>
      </c>
      <c r="J104" s="5">
        <f t="shared" si="19"/>
        <v>17.35</v>
      </c>
      <c r="K104" s="5">
        <f t="shared" si="19"/>
        <v>16.9</v>
      </c>
      <c r="L104" s="5">
        <f t="shared" si="19"/>
        <v>16.21</v>
      </c>
      <c r="M104" s="5">
        <f t="shared" si="19"/>
        <v>16.12</v>
      </c>
      <c r="N104" s="5">
        <f t="shared" si="19"/>
        <v>15.55</v>
      </c>
      <c r="O104" s="5">
        <f t="shared" si="19"/>
        <v>14.96</v>
      </c>
      <c r="P104" s="5">
        <f t="shared" si="19"/>
        <v>14.26</v>
      </c>
      <c r="Q104" s="5">
        <f t="shared" si="19"/>
        <v>12.2</v>
      </c>
      <c r="R104" s="5">
        <f t="shared" si="19"/>
        <v>9.44</v>
      </c>
      <c r="S104" s="5">
        <f t="shared" si="18"/>
        <v>8.55</v>
      </c>
      <c r="T104" s="5">
        <f t="shared" si="18"/>
        <v>6.63</v>
      </c>
      <c r="U104" s="5">
        <f t="shared" si="18"/>
        <v>4.7</v>
      </c>
      <c r="V104" s="5">
        <f t="shared" si="18"/>
        <v>4.42</v>
      </c>
      <c r="W104" s="5">
        <f t="shared" si="18"/>
        <v>3.57</v>
      </c>
      <c r="X104" s="5">
        <f t="shared" si="18"/>
        <v>3.14</v>
      </c>
      <c r="Y104" s="5">
        <f t="shared" si="18"/>
        <v>2.69</v>
      </c>
      <c r="Z104" s="5">
        <f t="shared" si="18"/>
        <v>2.62</v>
      </c>
      <c r="AA104" s="5">
        <f t="shared" si="18"/>
        <v>2.34</v>
      </c>
      <c r="AB104" s="5">
        <f t="shared" si="18"/>
        <v>1.94</v>
      </c>
      <c r="AC104" s="5">
        <f t="shared" si="18"/>
        <v>1.6</v>
      </c>
      <c r="AD104" s="5">
        <f t="shared" si="18"/>
        <v>1.55</v>
      </c>
      <c r="AE104" s="5">
        <f t="shared" si="18"/>
        <v>1.32</v>
      </c>
      <c r="AF104" s="5">
        <f t="shared" si="18"/>
        <v>1.26</v>
      </c>
      <c r="AG104" s="5">
        <f t="shared" si="18"/>
        <v>1.21</v>
      </c>
      <c r="AH104" s="5">
        <f t="shared" si="17"/>
        <v>1.04</v>
      </c>
      <c r="AI104" s="5">
        <f t="shared" si="17"/>
        <v>0.94</v>
      </c>
      <c r="AJ104" s="5">
        <f t="shared" si="17"/>
        <v>0.89</v>
      </c>
    </row>
    <row r="105" spans="1:36">
      <c r="A105" t="str">
        <f>"primary_archetype_"&amp;TEXT(ROUND(Table213[[#This Row],[2016]],1),"0.0")</f>
        <v>primary_archetype_20.0</v>
      </c>
      <c r="B105" s="5">
        <f t="shared" si="13"/>
        <v>20</v>
      </c>
      <c r="C105" s="5">
        <f t="shared" si="19"/>
        <v>20</v>
      </c>
      <c r="D105" s="5">
        <f t="shared" si="19"/>
        <v>20</v>
      </c>
      <c r="E105" s="5">
        <f t="shared" si="19"/>
        <v>19.62</v>
      </c>
      <c r="F105" s="5">
        <f t="shared" si="19"/>
        <v>18.72</v>
      </c>
      <c r="G105" s="5">
        <f t="shared" si="19"/>
        <v>18.84</v>
      </c>
      <c r="H105" s="5">
        <f t="shared" si="19"/>
        <v>18.45</v>
      </c>
      <c r="I105" s="5">
        <f t="shared" si="19"/>
        <v>17.69</v>
      </c>
      <c r="J105" s="5">
        <f t="shared" si="19"/>
        <v>17.26</v>
      </c>
      <c r="K105" s="5">
        <f t="shared" si="19"/>
        <v>16.82</v>
      </c>
      <c r="L105" s="5">
        <f t="shared" si="19"/>
        <v>16.13</v>
      </c>
      <c r="M105" s="5">
        <f t="shared" si="19"/>
        <v>16.04</v>
      </c>
      <c r="N105" s="5">
        <f t="shared" si="19"/>
        <v>15.47</v>
      </c>
      <c r="O105" s="5">
        <f t="shared" si="19"/>
        <v>14.89</v>
      </c>
      <c r="P105" s="5">
        <f t="shared" si="19"/>
        <v>14.19</v>
      </c>
      <c r="Q105" s="5">
        <f t="shared" si="19"/>
        <v>12.15</v>
      </c>
      <c r="R105" s="5">
        <f t="shared" si="19"/>
        <v>9.39</v>
      </c>
      <c r="S105" s="5">
        <f t="shared" si="18"/>
        <v>8.51</v>
      </c>
      <c r="T105" s="5">
        <f t="shared" si="18"/>
        <v>6.6</v>
      </c>
      <c r="U105" s="5">
        <f t="shared" si="18"/>
        <v>4.68</v>
      </c>
      <c r="V105" s="5">
        <f t="shared" si="18"/>
        <v>4.4</v>
      </c>
      <c r="W105" s="5">
        <f t="shared" si="18"/>
        <v>3.56</v>
      </c>
      <c r="X105" s="5">
        <f t="shared" si="18"/>
        <v>3.13</v>
      </c>
      <c r="Y105" s="5">
        <f t="shared" si="18"/>
        <v>2.68</v>
      </c>
      <c r="Z105" s="5">
        <f t="shared" si="18"/>
        <v>2.61</v>
      </c>
      <c r="AA105" s="5">
        <f t="shared" si="18"/>
        <v>2.34</v>
      </c>
      <c r="AB105" s="5">
        <f t="shared" si="18"/>
        <v>1.93</v>
      </c>
      <c r="AC105" s="5">
        <f t="shared" si="18"/>
        <v>1.6</v>
      </c>
      <c r="AD105" s="5">
        <f t="shared" si="18"/>
        <v>1.54</v>
      </c>
      <c r="AE105" s="5">
        <f t="shared" si="18"/>
        <v>1.32</v>
      </c>
      <c r="AF105" s="5">
        <f t="shared" si="18"/>
        <v>1.26</v>
      </c>
      <c r="AG105" s="5">
        <f t="shared" si="18"/>
        <v>1.21</v>
      </c>
      <c r="AH105" s="5">
        <f t="shared" si="17"/>
        <v>1.04</v>
      </c>
      <c r="AI105" s="5">
        <f t="shared" si="17"/>
        <v>0.94</v>
      </c>
      <c r="AJ105" s="5">
        <f t="shared" si="17"/>
        <v>0.89</v>
      </c>
    </row>
    <row r="106" spans="1:36">
      <c r="A106" t="str">
        <f>"primary_archetype_"&amp;TEXT(ROUND(Table213[[#This Row],[2016]],1),"0.0")</f>
        <v>primary_archetype_19.9</v>
      </c>
      <c r="B106" s="5">
        <f t="shared" si="13"/>
        <v>19.9</v>
      </c>
      <c r="C106" s="5">
        <f t="shared" si="19"/>
        <v>19.9</v>
      </c>
      <c r="D106" s="5">
        <f t="shared" si="19"/>
        <v>19.9</v>
      </c>
      <c r="E106" s="5">
        <f t="shared" si="19"/>
        <v>19.53</v>
      </c>
      <c r="F106" s="5">
        <f t="shared" si="19"/>
        <v>18.62</v>
      </c>
      <c r="G106" s="5">
        <f t="shared" si="19"/>
        <v>18.75</v>
      </c>
      <c r="H106" s="5">
        <f t="shared" si="19"/>
        <v>18.36</v>
      </c>
      <c r="I106" s="5">
        <f t="shared" si="19"/>
        <v>17.6</v>
      </c>
      <c r="J106" s="5">
        <f t="shared" si="19"/>
        <v>17.18</v>
      </c>
      <c r="K106" s="5">
        <f t="shared" si="19"/>
        <v>16.74</v>
      </c>
      <c r="L106" s="5">
        <f t="shared" si="19"/>
        <v>16.05</v>
      </c>
      <c r="M106" s="5">
        <f t="shared" si="19"/>
        <v>15.96</v>
      </c>
      <c r="N106" s="5">
        <f t="shared" si="19"/>
        <v>15.4</v>
      </c>
      <c r="O106" s="5">
        <f t="shared" si="19"/>
        <v>14.81</v>
      </c>
      <c r="P106" s="5">
        <f t="shared" si="19"/>
        <v>14.12</v>
      </c>
      <c r="Q106" s="5">
        <f t="shared" si="19"/>
        <v>12.09</v>
      </c>
      <c r="R106" s="5">
        <f t="shared" si="19"/>
        <v>9.35</v>
      </c>
      <c r="S106" s="5">
        <f t="shared" si="18"/>
        <v>8.47</v>
      </c>
      <c r="T106" s="5">
        <f t="shared" si="18"/>
        <v>6.57</v>
      </c>
      <c r="U106" s="5">
        <f t="shared" si="18"/>
        <v>4.66</v>
      </c>
      <c r="V106" s="5">
        <f t="shared" si="18"/>
        <v>4.38</v>
      </c>
      <c r="W106" s="5">
        <f t="shared" si="18"/>
        <v>3.54</v>
      </c>
      <c r="X106" s="5">
        <f t="shared" si="18"/>
        <v>3.12</v>
      </c>
      <c r="Y106" s="5">
        <f t="shared" si="18"/>
        <v>2.67</v>
      </c>
      <c r="Z106" s="5">
        <f t="shared" si="18"/>
        <v>2.61</v>
      </c>
      <c r="AA106" s="5">
        <f t="shared" si="18"/>
        <v>2.33</v>
      </c>
      <c r="AB106" s="5">
        <f t="shared" si="18"/>
        <v>1.93</v>
      </c>
      <c r="AC106" s="5">
        <f t="shared" si="18"/>
        <v>1.6</v>
      </c>
      <c r="AD106" s="5">
        <f t="shared" si="18"/>
        <v>1.54</v>
      </c>
      <c r="AE106" s="5">
        <f t="shared" si="18"/>
        <v>1.32</v>
      </c>
      <c r="AF106" s="5">
        <f t="shared" si="18"/>
        <v>1.26</v>
      </c>
      <c r="AG106" s="5">
        <f t="shared" si="18"/>
        <v>1.21</v>
      </c>
      <c r="AH106" s="5">
        <f t="shared" si="17"/>
        <v>1.04</v>
      </c>
      <c r="AI106" s="5">
        <f t="shared" si="17"/>
        <v>0.94</v>
      </c>
      <c r="AJ106" s="5">
        <f t="shared" si="17"/>
        <v>0.89</v>
      </c>
    </row>
    <row r="107" spans="1:36">
      <c r="A107" t="str">
        <f>"primary_archetype_"&amp;TEXT(ROUND(Table213[[#This Row],[2016]],1),"0.0")</f>
        <v>primary_archetype_19.8</v>
      </c>
      <c r="B107" s="5">
        <f t="shared" si="13"/>
        <v>19.8</v>
      </c>
      <c r="C107" s="5">
        <f t="shared" si="19"/>
        <v>19.8</v>
      </c>
      <c r="D107" s="5">
        <f t="shared" si="19"/>
        <v>19.8</v>
      </c>
      <c r="E107" s="5">
        <f t="shared" si="19"/>
        <v>19.43</v>
      </c>
      <c r="F107" s="5">
        <f t="shared" si="19"/>
        <v>18.53</v>
      </c>
      <c r="G107" s="5">
        <f t="shared" si="19"/>
        <v>18.66</v>
      </c>
      <c r="H107" s="5">
        <f t="shared" si="19"/>
        <v>18.27</v>
      </c>
      <c r="I107" s="5">
        <f t="shared" si="19"/>
        <v>17.51</v>
      </c>
      <c r="J107" s="5">
        <f t="shared" si="19"/>
        <v>17.09</v>
      </c>
      <c r="K107" s="5">
        <f t="shared" si="19"/>
        <v>16.65</v>
      </c>
      <c r="L107" s="5">
        <f t="shared" si="19"/>
        <v>15.97</v>
      </c>
      <c r="M107" s="5">
        <f t="shared" si="19"/>
        <v>15.88</v>
      </c>
      <c r="N107" s="5">
        <f t="shared" si="19"/>
        <v>15.32</v>
      </c>
      <c r="O107" s="5">
        <f t="shared" si="19"/>
        <v>14.74</v>
      </c>
      <c r="P107" s="5">
        <f t="shared" si="19"/>
        <v>14.05</v>
      </c>
      <c r="Q107" s="5">
        <f t="shared" si="19"/>
        <v>12.03</v>
      </c>
      <c r="R107" s="5">
        <f t="shared" si="19"/>
        <v>9.3</v>
      </c>
      <c r="S107" s="5">
        <f t="shared" si="18"/>
        <v>8.43</v>
      </c>
      <c r="T107" s="5">
        <f t="shared" si="18"/>
        <v>6.54</v>
      </c>
      <c r="U107" s="5">
        <f t="shared" si="18"/>
        <v>4.64</v>
      </c>
      <c r="V107" s="5">
        <f t="shared" si="18"/>
        <v>4.36</v>
      </c>
      <c r="W107" s="5">
        <f t="shared" si="18"/>
        <v>3.53</v>
      </c>
      <c r="X107" s="5">
        <f t="shared" si="18"/>
        <v>3.11</v>
      </c>
      <c r="Y107" s="5">
        <f t="shared" si="18"/>
        <v>2.67</v>
      </c>
      <c r="Z107" s="5">
        <f t="shared" si="18"/>
        <v>2.6</v>
      </c>
      <c r="AA107" s="5">
        <f t="shared" si="18"/>
        <v>2.32</v>
      </c>
      <c r="AB107" s="5">
        <f t="shared" si="18"/>
        <v>1.92</v>
      </c>
      <c r="AC107" s="5">
        <f t="shared" si="18"/>
        <v>1.59</v>
      </c>
      <c r="AD107" s="5">
        <f t="shared" si="18"/>
        <v>1.54</v>
      </c>
      <c r="AE107" s="5">
        <f t="shared" si="18"/>
        <v>1.32</v>
      </c>
      <c r="AF107" s="5">
        <f t="shared" si="18"/>
        <v>1.26</v>
      </c>
      <c r="AG107" s="5">
        <f t="shared" si="18"/>
        <v>1.21</v>
      </c>
      <c r="AH107" s="5">
        <f t="shared" si="17"/>
        <v>1.04</v>
      </c>
      <c r="AI107" s="5">
        <f t="shared" si="17"/>
        <v>0.94</v>
      </c>
      <c r="AJ107" s="5">
        <f t="shared" si="17"/>
        <v>0.89</v>
      </c>
    </row>
    <row r="108" spans="1:36">
      <c r="A108" t="str">
        <f>"primary_archetype_"&amp;TEXT(ROUND(Table213[[#This Row],[2016]],1),"0.0")</f>
        <v>primary_archetype_19.7</v>
      </c>
      <c r="B108" s="5">
        <f t="shared" si="13"/>
        <v>19.7</v>
      </c>
      <c r="C108" s="5">
        <f t="shared" si="19"/>
        <v>19.7</v>
      </c>
      <c r="D108" s="5">
        <f t="shared" si="19"/>
        <v>19.7</v>
      </c>
      <c r="E108" s="5">
        <f t="shared" si="19"/>
        <v>19.33</v>
      </c>
      <c r="F108" s="5">
        <f t="shared" si="19"/>
        <v>18.44</v>
      </c>
      <c r="G108" s="5">
        <f t="shared" si="19"/>
        <v>18.56</v>
      </c>
      <c r="H108" s="5">
        <f t="shared" si="19"/>
        <v>18.17</v>
      </c>
      <c r="I108" s="5">
        <f t="shared" si="19"/>
        <v>17.43</v>
      </c>
      <c r="J108" s="5">
        <f t="shared" si="19"/>
        <v>17</v>
      </c>
      <c r="K108" s="5">
        <f t="shared" si="19"/>
        <v>16.57</v>
      </c>
      <c r="L108" s="5">
        <f t="shared" si="19"/>
        <v>15.89</v>
      </c>
      <c r="M108" s="5">
        <f t="shared" si="19"/>
        <v>15.81</v>
      </c>
      <c r="N108" s="5">
        <f t="shared" si="19"/>
        <v>15.25</v>
      </c>
      <c r="O108" s="5">
        <f t="shared" si="19"/>
        <v>14.67</v>
      </c>
      <c r="P108" s="5">
        <f t="shared" si="19"/>
        <v>13.98</v>
      </c>
      <c r="Q108" s="5">
        <f t="shared" si="19"/>
        <v>11.97</v>
      </c>
      <c r="R108" s="5">
        <f t="shared" ref="R108:AG123" si="20">MROUND((($B108-$AH$2)*((R$2-$AH$2)/($B$2-$AH$2)))+$AH$2,0.01)</f>
        <v>9.26</v>
      </c>
      <c r="S108" s="5">
        <f t="shared" si="20"/>
        <v>8.39</v>
      </c>
      <c r="T108" s="5">
        <f t="shared" si="20"/>
        <v>6.51</v>
      </c>
      <c r="U108" s="5">
        <f t="shared" si="20"/>
        <v>4.62</v>
      </c>
      <c r="V108" s="5">
        <f t="shared" si="20"/>
        <v>4.35</v>
      </c>
      <c r="W108" s="5">
        <f t="shared" si="20"/>
        <v>3.52</v>
      </c>
      <c r="X108" s="5">
        <f t="shared" si="20"/>
        <v>3.1</v>
      </c>
      <c r="Y108" s="5">
        <f t="shared" si="20"/>
        <v>2.66</v>
      </c>
      <c r="Z108" s="5">
        <f t="shared" si="20"/>
        <v>2.59</v>
      </c>
      <c r="AA108" s="5">
        <f t="shared" si="20"/>
        <v>2.32</v>
      </c>
      <c r="AB108" s="5">
        <f t="shared" si="20"/>
        <v>1.92</v>
      </c>
      <c r="AC108" s="5">
        <f t="shared" si="20"/>
        <v>1.59</v>
      </c>
      <c r="AD108" s="5">
        <f t="shared" si="20"/>
        <v>1.54</v>
      </c>
      <c r="AE108" s="5">
        <f t="shared" si="20"/>
        <v>1.32</v>
      </c>
      <c r="AF108" s="5">
        <f t="shared" si="20"/>
        <v>1.26</v>
      </c>
      <c r="AG108" s="5">
        <f t="shared" si="20"/>
        <v>1.21</v>
      </c>
      <c r="AH108" s="5">
        <f t="shared" si="17"/>
        <v>1.04</v>
      </c>
      <c r="AI108" s="5">
        <f t="shared" si="17"/>
        <v>0.94</v>
      </c>
      <c r="AJ108" s="5">
        <f t="shared" si="17"/>
        <v>0.89</v>
      </c>
    </row>
    <row r="109" spans="1:36">
      <c r="A109" t="str">
        <f>"primary_archetype_"&amp;TEXT(ROUND(Table213[[#This Row],[2016]],1),"0.0")</f>
        <v>primary_archetype_19.6</v>
      </c>
      <c r="B109" s="5">
        <f t="shared" si="13"/>
        <v>19.6</v>
      </c>
      <c r="C109" s="5">
        <f t="shared" ref="C109:R124" si="21">MROUND((($B109-$AH$2)*((C$2-$AH$2)/($B$2-$AH$2)))+$AH$2,0.01)</f>
        <v>19.6</v>
      </c>
      <c r="D109" s="5">
        <f t="shared" si="21"/>
        <v>19.6</v>
      </c>
      <c r="E109" s="5">
        <f t="shared" si="21"/>
        <v>19.23</v>
      </c>
      <c r="F109" s="5">
        <f t="shared" si="21"/>
        <v>18.34</v>
      </c>
      <c r="G109" s="5">
        <f t="shared" si="21"/>
        <v>18.47</v>
      </c>
      <c r="H109" s="5">
        <f t="shared" si="21"/>
        <v>18.08</v>
      </c>
      <c r="I109" s="5">
        <f t="shared" si="21"/>
        <v>17.34</v>
      </c>
      <c r="J109" s="5">
        <f t="shared" si="21"/>
        <v>16.92</v>
      </c>
      <c r="K109" s="5">
        <f t="shared" si="21"/>
        <v>16.49</v>
      </c>
      <c r="L109" s="5">
        <f t="shared" si="21"/>
        <v>15.81</v>
      </c>
      <c r="M109" s="5">
        <f t="shared" si="21"/>
        <v>15.73</v>
      </c>
      <c r="N109" s="5">
        <f t="shared" si="21"/>
        <v>15.17</v>
      </c>
      <c r="O109" s="5">
        <f t="shared" si="21"/>
        <v>14.59</v>
      </c>
      <c r="P109" s="5">
        <f t="shared" si="21"/>
        <v>13.91</v>
      </c>
      <c r="Q109" s="5">
        <f t="shared" si="21"/>
        <v>11.91</v>
      </c>
      <c r="R109" s="5">
        <f t="shared" si="21"/>
        <v>9.21</v>
      </c>
      <c r="S109" s="5">
        <f t="shared" si="20"/>
        <v>8.35</v>
      </c>
      <c r="T109" s="5">
        <f t="shared" si="20"/>
        <v>6.49</v>
      </c>
      <c r="U109" s="5">
        <f t="shared" si="20"/>
        <v>4.6</v>
      </c>
      <c r="V109" s="5">
        <f t="shared" si="20"/>
        <v>4.33</v>
      </c>
      <c r="W109" s="5">
        <f t="shared" si="20"/>
        <v>3.5</v>
      </c>
      <c r="X109" s="5">
        <f t="shared" si="20"/>
        <v>3.08</v>
      </c>
      <c r="Y109" s="5">
        <f t="shared" si="20"/>
        <v>2.65</v>
      </c>
      <c r="Z109" s="5">
        <f t="shared" si="20"/>
        <v>2.58</v>
      </c>
      <c r="AA109" s="5">
        <f t="shared" si="20"/>
        <v>2.31</v>
      </c>
      <c r="AB109" s="5">
        <f t="shared" si="20"/>
        <v>1.91</v>
      </c>
      <c r="AC109" s="5">
        <f t="shared" si="20"/>
        <v>1.59</v>
      </c>
      <c r="AD109" s="5">
        <f t="shared" si="20"/>
        <v>1.53</v>
      </c>
      <c r="AE109" s="5">
        <f t="shared" si="20"/>
        <v>1.32</v>
      </c>
      <c r="AF109" s="5">
        <f t="shared" si="20"/>
        <v>1.25</v>
      </c>
      <c r="AG109" s="5">
        <f t="shared" si="20"/>
        <v>1.21</v>
      </c>
      <c r="AH109" s="5">
        <f t="shared" si="17"/>
        <v>1.04</v>
      </c>
      <c r="AI109" s="5">
        <f t="shared" si="17"/>
        <v>0.94</v>
      </c>
      <c r="AJ109" s="5">
        <f t="shared" si="17"/>
        <v>0.89</v>
      </c>
    </row>
    <row r="110" spans="1:36">
      <c r="A110" t="str">
        <f>"primary_archetype_"&amp;TEXT(ROUND(Table213[[#This Row],[2016]],1),"0.0")</f>
        <v>primary_archetype_19.5</v>
      </c>
      <c r="B110" s="5">
        <f t="shared" si="13"/>
        <v>19.5</v>
      </c>
      <c r="C110" s="5">
        <f t="shared" si="21"/>
        <v>19.5</v>
      </c>
      <c r="D110" s="5">
        <f t="shared" si="21"/>
        <v>19.5</v>
      </c>
      <c r="E110" s="5">
        <f t="shared" si="21"/>
        <v>19.13</v>
      </c>
      <c r="F110" s="5">
        <f t="shared" si="21"/>
        <v>18.25</v>
      </c>
      <c r="G110" s="5">
        <f t="shared" si="21"/>
        <v>18.37</v>
      </c>
      <c r="H110" s="5">
        <f t="shared" si="21"/>
        <v>17.99</v>
      </c>
      <c r="I110" s="5">
        <f t="shared" si="21"/>
        <v>17.25</v>
      </c>
      <c r="J110" s="5">
        <f t="shared" si="21"/>
        <v>16.83</v>
      </c>
      <c r="K110" s="5">
        <f t="shared" si="21"/>
        <v>16.41</v>
      </c>
      <c r="L110" s="5">
        <f t="shared" si="21"/>
        <v>15.73</v>
      </c>
      <c r="M110" s="5">
        <f t="shared" si="21"/>
        <v>15.65</v>
      </c>
      <c r="N110" s="5">
        <f t="shared" si="21"/>
        <v>15.09</v>
      </c>
      <c r="O110" s="5">
        <f t="shared" si="21"/>
        <v>14.52</v>
      </c>
      <c r="P110" s="5">
        <f t="shared" si="21"/>
        <v>13.84</v>
      </c>
      <c r="Q110" s="5">
        <f t="shared" si="21"/>
        <v>11.85</v>
      </c>
      <c r="R110" s="5">
        <f t="shared" si="21"/>
        <v>9.17</v>
      </c>
      <c r="S110" s="5">
        <f t="shared" si="20"/>
        <v>8.32</v>
      </c>
      <c r="T110" s="5">
        <f t="shared" si="20"/>
        <v>6.46</v>
      </c>
      <c r="U110" s="5">
        <f t="shared" si="20"/>
        <v>4.58</v>
      </c>
      <c r="V110" s="5">
        <f t="shared" si="20"/>
        <v>4.31</v>
      </c>
      <c r="W110" s="5">
        <f t="shared" si="20"/>
        <v>3.49</v>
      </c>
      <c r="X110" s="5">
        <f t="shared" si="20"/>
        <v>3.07</v>
      </c>
      <c r="Y110" s="5">
        <f t="shared" si="20"/>
        <v>2.64</v>
      </c>
      <c r="Z110" s="5">
        <f t="shared" si="20"/>
        <v>2.57</v>
      </c>
      <c r="AA110" s="5">
        <f t="shared" si="20"/>
        <v>2.3</v>
      </c>
      <c r="AB110" s="5">
        <f t="shared" si="20"/>
        <v>1.91</v>
      </c>
      <c r="AC110" s="5">
        <f t="shared" si="20"/>
        <v>1.58</v>
      </c>
      <c r="AD110" s="5">
        <f t="shared" si="20"/>
        <v>1.53</v>
      </c>
      <c r="AE110" s="5">
        <f t="shared" si="20"/>
        <v>1.31</v>
      </c>
      <c r="AF110" s="5">
        <f t="shared" si="20"/>
        <v>1.25</v>
      </c>
      <c r="AG110" s="5">
        <f t="shared" si="20"/>
        <v>1.21</v>
      </c>
      <c r="AH110" s="5">
        <f t="shared" si="17"/>
        <v>1.04</v>
      </c>
      <c r="AI110" s="5">
        <f t="shared" si="17"/>
        <v>0.94</v>
      </c>
      <c r="AJ110" s="5">
        <f t="shared" si="17"/>
        <v>0.89</v>
      </c>
    </row>
    <row r="111" spans="1:36">
      <c r="A111" t="str">
        <f>"primary_archetype_"&amp;TEXT(ROUND(Table213[[#This Row],[2016]],1),"0.0")</f>
        <v>primary_archetype_19.4</v>
      </c>
      <c r="B111" s="5">
        <f t="shared" si="13"/>
        <v>19.4</v>
      </c>
      <c r="C111" s="5">
        <f t="shared" si="21"/>
        <v>19.4</v>
      </c>
      <c r="D111" s="5">
        <f t="shared" si="21"/>
        <v>19.4</v>
      </c>
      <c r="E111" s="5">
        <f t="shared" si="21"/>
        <v>19.04</v>
      </c>
      <c r="F111" s="5">
        <f t="shared" si="21"/>
        <v>18.16</v>
      </c>
      <c r="G111" s="5">
        <f t="shared" si="21"/>
        <v>18.28</v>
      </c>
      <c r="H111" s="5">
        <f t="shared" si="21"/>
        <v>17.9</v>
      </c>
      <c r="I111" s="5">
        <f t="shared" si="21"/>
        <v>17.16</v>
      </c>
      <c r="J111" s="5">
        <f t="shared" si="21"/>
        <v>16.75</v>
      </c>
      <c r="K111" s="5">
        <f t="shared" si="21"/>
        <v>16.32</v>
      </c>
      <c r="L111" s="5">
        <f t="shared" si="21"/>
        <v>15.65</v>
      </c>
      <c r="M111" s="5">
        <f t="shared" si="21"/>
        <v>15.57</v>
      </c>
      <c r="N111" s="5">
        <f t="shared" si="21"/>
        <v>15.02</v>
      </c>
      <c r="O111" s="5">
        <f t="shared" si="21"/>
        <v>14.45</v>
      </c>
      <c r="P111" s="5">
        <f t="shared" si="21"/>
        <v>13.77</v>
      </c>
      <c r="Q111" s="5">
        <f t="shared" si="21"/>
        <v>11.79</v>
      </c>
      <c r="R111" s="5">
        <f t="shared" si="21"/>
        <v>9.13</v>
      </c>
      <c r="S111" s="5">
        <f t="shared" si="20"/>
        <v>8.28</v>
      </c>
      <c r="T111" s="5">
        <f t="shared" si="20"/>
        <v>6.43</v>
      </c>
      <c r="U111" s="5">
        <f t="shared" si="20"/>
        <v>4.56</v>
      </c>
      <c r="V111" s="5">
        <f t="shared" si="20"/>
        <v>4.29</v>
      </c>
      <c r="W111" s="5">
        <f t="shared" si="20"/>
        <v>3.48</v>
      </c>
      <c r="X111" s="5">
        <f t="shared" si="20"/>
        <v>3.06</v>
      </c>
      <c r="Y111" s="5">
        <f t="shared" si="20"/>
        <v>2.63</v>
      </c>
      <c r="Z111" s="5">
        <f t="shared" si="20"/>
        <v>2.56</v>
      </c>
      <c r="AA111" s="5">
        <f t="shared" si="20"/>
        <v>2.3</v>
      </c>
      <c r="AB111" s="5">
        <f t="shared" si="20"/>
        <v>1.9</v>
      </c>
      <c r="AC111" s="5">
        <f t="shared" si="20"/>
        <v>1.58</v>
      </c>
      <c r="AD111" s="5">
        <f t="shared" si="20"/>
        <v>1.53</v>
      </c>
      <c r="AE111" s="5">
        <f t="shared" si="20"/>
        <v>1.31</v>
      </c>
      <c r="AF111" s="5">
        <f t="shared" si="20"/>
        <v>1.25</v>
      </c>
      <c r="AG111" s="5">
        <f t="shared" si="20"/>
        <v>1.21</v>
      </c>
      <c r="AH111" s="5">
        <f t="shared" si="17"/>
        <v>1.04</v>
      </c>
      <c r="AI111" s="5">
        <f t="shared" si="17"/>
        <v>0.94</v>
      </c>
      <c r="AJ111" s="5">
        <f t="shared" si="17"/>
        <v>0.9</v>
      </c>
    </row>
    <row r="112" spans="1:36">
      <c r="A112" t="str">
        <f>"primary_archetype_"&amp;TEXT(ROUND(Table213[[#This Row],[2016]],1),"0.0")</f>
        <v>primary_archetype_19.3</v>
      </c>
      <c r="B112" s="5">
        <f t="shared" si="13"/>
        <v>19.3</v>
      </c>
      <c r="C112" s="5">
        <f t="shared" si="21"/>
        <v>19.3</v>
      </c>
      <c r="D112" s="5">
        <f t="shared" si="21"/>
        <v>19.3</v>
      </c>
      <c r="E112" s="5">
        <f t="shared" si="21"/>
        <v>18.94</v>
      </c>
      <c r="F112" s="5">
        <f t="shared" si="21"/>
        <v>18.06</v>
      </c>
      <c r="G112" s="5">
        <f t="shared" si="21"/>
        <v>18.19</v>
      </c>
      <c r="H112" s="5">
        <f t="shared" si="21"/>
        <v>17.81</v>
      </c>
      <c r="I112" s="5">
        <f t="shared" si="21"/>
        <v>17.07</v>
      </c>
      <c r="J112" s="5">
        <f t="shared" si="21"/>
        <v>16.66</v>
      </c>
      <c r="K112" s="5">
        <f t="shared" si="21"/>
        <v>16.24</v>
      </c>
      <c r="L112" s="5">
        <f t="shared" si="21"/>
        <v>15.57</v>
      </c>
      <c r="M112" s="5">
        <f t="shared" si="21"/>
        <v>15.49</v>
      </c>
      <c r="N112" s="5">
        <f t="shared" si="21"/>
        <v>14.94</v>
      </c>
      <c r="O112" s="5">
        <f t="shared" si="21"/>
        <v>14.37</v>
      </c>
      <c r="P112" s="5">
        <f t="shared" si="21"/>
        <v>13.7</v>
      </c>
      <c r="Q112" s="5">
        <f t="shared" si="21"/>
        <v>11.74</v>
      </c>
      <c r="R112" s="5">
        <f t="shared" si="21"/>
        <v>9.08</v>
      </c>
      <c r="S112" s="5">
        <f t="shared" si="20"/>
        <v>8.24</v>
      </c>
      <c r="T112" s="5">
        <f t="shared" si="20"/>
        <v>6.4</v>
      </c>
      <c r="U112" s="5">
        <f t="shared" si="20"/>
        <v>4.54</v>
      </c>
      <c r="V112" s="5">
        <f t="shared" si="20"/>
        <v>4.27</v>
      </c>
      <c r="W112" s="5">
        <f t="shared" si="20"/>
        <v>3.46</v>
      </c>
      <c r="X112" s="5">
        <f t="shared" si="20"/>
        <v>3.05</v>
      </c>
      <c r="Y112" s="5">
        <f t="shared" si="20"/>
        <v>2.62</v>
      </c>
      <c r="Z112" s="5">
        <f t="shared" si="20"/>
        <v>2.56</v>
      </c>
      <c r="AA112" s="5">
        <f t="shared" si="20"/>
        <v>2.29</v>
      </c>
      <c r="AB112" s="5">
        <f t="shared" si="20"/>
        <v>1.9</v>
      </c>
      <c r="AC112" s="5">
        <f t="shared" si="20"/>
        <v>1.58</v>
      </c>
      <c r="AD112" s="5">
        <f t="shared" si="20"/>
        <v>1.53</v>
      </c>
      <c r="AE112" s="5">
        <f t="shared" si="20"/>
        <v>1.31</v>
      </c>
      <c r="AF112" s="5">
        <f t="shared" si="20"/>
        <v>1.25</v>
      </c>
      <c r="AG112" s="5">
        <f t="shared" si="20"/>
        <v>1.21</v>
      </c>
      <c r="AH112" s="5">
        <f t="shared" si="17"/>
        <v>1.04</v>
      </c>
      <c r="AI112" s="5">
        <f t="shared" si="17"/>
        <v>0.94</v>
      </c>
      <c r="AJ112" s="5">
        <f t="shared" si="17"/>
        <v>0.9</v>
      </c>
    </row>
    <row r="113" spans="1:36">
      <c r="A113" t="str">
        <f>"primary_archetype_"&amp;TEXT(ROUND(Table213[[#This Row],[2016]],1),"0.0")</f>
        <v>primary_archetype_19.2</v>
      </c>
      <c r="B113" s="5">
        <f t="shared" si="13"/>
        <v>19.2</v>
      </c>
      <c r="C113" s="5">
        <f t="shared" si="21"/>
        <v>19.2</v>
      </c>
      <c r="D113" s="5">
        <f t="shared" si="21"/>
        <v>19.2</v>
      </c>
      <c r="E113" s="5">
        <f t="shared" si="21"/>
        <v>18.84</v>
      </c>
      <c r="F113" s="5">
        <f t="shared" si="21"/>
        <v>17.97</v>
      </c>
      <c r="G113" s="5">
        <f t="shared" si="21"/>
        <v>18.09</v>
      </c>
      <c r="H113" s="5">
        <f t="shared" si="21"/>
        <v>17.72</v>
      </c>
      <c r="I113" s="5">
        <f t="shared" si="21"/>
        <v>16.99</v>
      </c>
      <c r="J113" s="5">
        <f t="shared" si="21"/>
        <v>16.58</v>
      </c>
      <c r="K113" s="5">
        <f t="shared" si="21"/>
        <v>16.16</v>
      </c>
      <c r="L113" s="5">
        <f t="shared" si="21"/>
        <v>15.49</v>
      </c>
      <c r="M113" s="5">
        <f t="shared" si="21"/>
        <v>15.41</v>
      </c>
      <c r="N113" s="5">
        <f t="shared" si="21"/>
        <v>14.87</v>
      </c>
      <c r="O113" s="5">
        <f t="shared" si="21"/>
        <v>14.3</v>
      </c>
      <c r="P113" s="5">
        <f t="shared" si="21"/>
        <v>13.63</v>
      </c>
      <c r="Q113" s="5">
        <f t="shared" si="21"/>
        <v>11.68</v>
      </c>
      <c r="R113" s="5">
        <f t="shared" si="21"/>
        <v>9.04</v>
      </c>
      <c r="S113" s="5">
        <f t="shared" si="20"/>
        <v>8.2</v>
      </c>
      <c r="T113" s="5">
        <f t="shared" si="20"/>
        <v>6.37</v>
      </c>
      <c r="U113" s="5">
        <f t="shared" si="20"/>
        <v>4.52</v>
      </c>
      <c r="V113" s="5">
        <f t="shared" si="20"/>
        <v>4.26</v>
      </c>
      <c r="W113" s="5">
        <f t="shared" si="20"/>
        <v>3.45</v>
      </c>
      <c r="X113" s="5">
        <f t="shared" si="20"/>
        <v>3.04</v>
      </c>
      <c r="Y113" s="5">
        <f t="shared" si="20"/>
        <v>2.61</v>
      </c>
      <c r="Z113" s="5">
        <f t="shared" si="20"/>
        <v>2.55</v>
      </c>
      <c r="AA113" s="5">
        <f t="shared" si="20"/>
        <v>2.28</v>
      </c>
      <c r="AB113" s="5">
        <f t="shared" si="20"/>
        <v>1.89</v>
      </c>
      <c r="AC113" s="5">
        <f t="shared" si="20"/>
        <v>1.58</v>
      </c>
      <c r="AD113" s="5">
        <f t="shared" si="20"/>
        <v>1.52</v>
      </c>
      <c r="AE113" s="5">
        <f t="shared" si="20"/>
        <v>1.31</v>
      </c>
      <c r="AF113" s="5">
        <f t="shared" si="20"/>
        <v>1.25</v>
      </c>
      <c r="AG113" s="5">
        <f t="shared" si="20"/>
        <v>1.2</v>
      </c>
      <c r="AH113" s="5">
        <f t="shared" si="17"/>
        <v>1.04</v>
      </c>
      <c r="AI113" s="5">
        <f t="shared" si="17"/>
        <v>0.94</v>
      </c>
      <c r="AJ113" s="5">
        <f t="shared" si="17"/>
        <v>0.9</v>
      </c>
    </row>
    <row r="114" spans="1:36">
      <c r="A114" t="str">
        <f>"primary_archetype_"&amp;TEXT(ROUND(Table213[[#This Row],[2016]],1),"0.0")</f>
        <v>primary_archetype_19.1</v>
      </c>
      <c r="B114" s="5">
        <f t="shared" si="13"/>
        <v>19.1</v>
      </c>
      <c r="C114" s="5">
        <f t="shared" si="21"/>
        <v>19.1</v>
      </c>
      <c r="D114" s="5">
        <f t="shared" si="21"/>
        <v>19.1</v>
      </c>
      <c r="E114" s="5">
        <f t="shared" si="21"/>
        <v>18.74</v>
      </c>
      <c r="F114" s="5">
        <f t="shared" si="21"/>
        <v>17.88</v>
      </c>
      <c r="G114" s="5">
        <f t="shared" si="21"/>
        <v>18</v>
      </c>
      <c r="H114" s="5">
        <f t="shared" si="21"/>
        <v>17.62</v>
      </c>
      <c r="I114" s="5">
        <f t="shared" si="21"/>
        <v>16.9</v>
      </c>
      <c r="J114" s="5">
        <f t="shared" si="21"/>
        <v>16.49</v>
      </c>
      <c r="K114" s="5">
        <f t="shared" si="21"/>
        <v>16.07</v>
      </c>
      <c r="L114" s="5">
        <f t="shared" si="21"/>
        <v>15.41</v>
      </c>
      <c r="M114" s="5">
        <f t="shared" si="21"/>
        <v>15.33</v>
      </c>
      <c r="N114" s="5">
        <f t="shared" si="21"/>
        <v>14.79</v>
      </c>
      <c r="O114" s="5">
        <f t="shared" si="21"/>
        <v>14.23</v>
      </c>
      <c r="P114" s="5">
        <f t="shared" si="21"/>
        <v>13.56</v>
      </c>
      <c r="Q114" s="5">
        <f t="shared" si="21"/>
        <v>11.62</v>
      </c>
      <c r="R114" s="5">
        <f t="shared" si="21"/>
        <v>8.99</v>
      </c>
      <c r="S114" s="5">
        <f t="shared" si="20"/>
        <v>8.16</v>
      </c>
      <c r="T114" s="5">
        <f t="shared" si="20"/>
        <v>6.34</v>
      </c>
      <c r="U114" s="5">
        <f t="shared" si="20"/>
        <v>4.51</v>
      </c>
      <c r="V114" s="5">
        <f t="shared" si="20"/>
        <v>4.24</v>
      </c>
      <c r="W114" s="5">
        <f t="shared" si="20"/>
        <v>3.44</v>
      </c>
      <c r="X114" s="5">
        <f t="shared" si="20"/>
        <v>3.03</v>
      </c>
      <c r="Y114" s="5">
        <f t="shared" si="20"/>
        <v>2.61</v>
      </c>
      <c r="Z114" s="5">
        <f t="shared" si="20"/>
        <v>2.54</v>
      </c>
      <c r="AA114" s="5">
        <f t="shared" si="20"/>
        <v>2.27</v>
      </c>
      <c r="AB114" s="5">
        <f t="shared" si="20"/>
        <v>1.89</v>
      </c>
      <c r="AC114" s="5">
        <f t="shared" si="20"/>
        <v>1.57</v>
      </c>
      <c r="AD114" s="5">
        <f t="shared" si="20"/>
        <v>1.52</v>
      </c>
      <c r="AE114" s="5">
        <f t="shared" si="20"/>
        <v>1.31</v>
      </c>
      <c r="AF114" s="5">
        <f t="shared" si="20"/>
        <v>1.25</v>
      </c>
      <c r="AG114" s="5">
        <f t="shared" si="20"/>
        <v>1.2</v>
      </c>
      <c r="AH114" s="5">
        <f t="shared" si="17"/>
        <v>1.04</v>
      </c>
      <c r="AI114" s="5">
        <f t="shared" si="17"/>
        <v>0.94</v>
      </c>
      <c r="AJ114" s="5">
        <f t="shared" si="17"/>
        <v>0.9</v>
      </c>
    </row>
    <row r="115" spans="1:36">
      <c r="A115" t="str">
        <f>"primary_archetype_"&amp;TEXT(ROUND(Table213[[#This Row],[2016]],1),"0.0")</f>
        <v>primary_archetype_19.0</v>
      </c>
      <c r="B115" s="5">
        <f t="shared" si="13"/>
        <v>19</v>
      </c>
      <c r="C115" s="5">
        <f t="shared" si="21"/>
        <v>19</v>
      </c>
      <c r="D115" s="5">
        <f t="shared" si="21"/>
        <v>19</v>
      </c>
      <c r="E115" s="5">
        <f t="shared" si="21"/>
        <v>18.64</v>
      </c>
      <c r="F115" s="5">
        <f t="shared" si="21"/>
        <v>17.79</v>
      </c>
      <c r="G115" s="5">
        <f t="shared" si="21"/>
        <v>17.91</v>
      </c>
      <c r="H115" s="5">
        <f t="shared" si="21"/>
        <v>17.53</v>
      </c>
      <c r="I115" s="5">
        <f t="shared" si="21"/>
        <v>16.81</v>
      </c>
      <c r="J115" s="5">
        <f t="shared" si="21"/>
        <v>16.41</v>
      </c>
      <c r="K115" s="5">
        <f t="shared" si="21"/>
        <v>15.99</v>
      </c>
      <c r="L115" s="5">
        <f t="shared" si="21"/>
        <v>15.33</v>
      </c>
      <c r="M115" s="5">
        <f t="shared" si="21"/>
        <v>15.25</v>
      </c>
      <c r="N115" s="5">
        <f t="shared" si="21"/>
        <v>14.71</v>
      </c>
      <c r="O115" s="5">
        <f t="shared" si="21"/>
        <v>14.15</v>
      </c>
      <c r="P115" s="5">
        <f t="shared" si="21"/>
        <v>13.49</v>
      </c>
      <c r="Q115" s="5">
        <f t="shared" si="21"/>
        <v>11.56</v>
      </c>
      <c r="R115" s="5">
        <f t="shared" si="21"/>
        <v>8.95</v>
      </c>
      <c r="S115" s="5">
        <f t="shared" si="20"/>
        <v>8.12</v>
      </c>
      <c r="T115" s="5">
        <f t="shared" si="20"/>
        <v>6.31</v>
      </c>
      <c r="U115" s="5">
        <f t="shared" si="20"/>
        <v>4.49</v>
      </c>
      <c r="V115" s="5">
        <f t="shared" si="20"/>
        <v>4.22</v>
      </c>
      <c r="W115" s="5">
        <f t="shared" si="20"/>
        <v>3.42</v>
      </c>
      <c r="X115" s="5">
        <f t="shared" si="20"/>
        <v>3.02</v>
      </c>
      <c r="Y115" s="5">
        <f t="shared" si="20"/>
        <v>2.6</v>
      </c>
      <c r="Z115" s="5">
        <f t="shared" si="20"/>
        <v>2.53</v>
      </c>
      <c r="AA115" s="5">
        <f t="shared" si="20"/>
        <v>2.27</v>
      </c>
      <c r="AB115" s="5">
        <f t="shared" si="20"/>
        <v>1.88</v>
      </c>
      <c r="AC115" s="5">
        <f t="shared" si="20"/>
        <v>1.57</v>
      </c>
      <c r="AD115" s="5">
        <f t="shared" si="20"/>
        <v>1.52</v>
      </c>
      <c r="AE115" s="5">
        <f t="shared" si="20"/>
        <v>1.31</v>
      </c>
      <c r="AF115" s="5">
        <f t="shared" si="20"/>
        <v>1.25</v>
      </c>
      <c r="AG115" s="5">
        <f t="shared" si="20"/>
        <v>1.2</v>
      </c>
      <c r="AH115" s="5">
        <f t="shared" si="17"/>
        <v>1.04</v>
      </c>
      <c r="AI115" s="5">
        <f t="shared" si="17"/>
        <v>0.94</v>
      </c>
      <c r="AJ115" s="5">
        <f t="shared" si="17"/>
        <v>0.9</v>
      </c>
    </row>
    <row r="116" spans="1:36">
      <c r="A116" t="str">
        <f>"primary_archetype_"&amp;TEXT(ROUND(Table213[[#This Row],[2016]],1),"0.0")</f>
        <v>primary_archetype_18.9</v>
      </c>
      <c r="B116" s="5">
        <f t="shared" si="13"/>
        <v>18.9</v>
      </c>
      <c r="C116" s="5">
        <f t="shared" si="21"/>
        <v>18.9</v>
      </c>
      <c r="D116" s="5">
        <f t="shared" si="21"/>
        <v>18.9</v>
      </c>
      <c r="E116" s="5">
        <f t="shared" si="21"/>
        <v>18.55</v>
      </c>
      <c r="F116" s="5">
        <f t="shared" si="21"/>
        <v>17.69</v>
      </c>
      <c r="G116" s="5">
        <f t="shared" si="21"/>
        <v>17.81</v>
      </c>
      <c r="H116" s="5">
        <f t="shared" si="21"/>
        <v>17.44</v>
      </c>
      <c r="I116" s="5">
        <f t="shared" si="21"/>
        <v>16.72</v>
      </c>
      <c r="J116" s="5">
        <f t="shared" si="21"/>
        <v>16.32</v>
      </c>
      <c r="K116" s="5">
        <f t="shared" si="21"/>
        <v>15.91</v>
      </c>
      <c r="L116" s="5">
        <f t="shared" si="21"/>
        <v>15.25</v>
      </c>
      <c r="M116" s="5">
        <f t="shared" si="21"/>
        <v>15.17</v>
      </c>
      <c r="N116" s="5">
        <f t="shared" si="21"/>
        <v>14.64</v>
      </c>
      <c r="O116" s="5">
        <f t="shared" si="21"/>
        <v>14.08</v>
      </c>
      <c r="P116" s="5">
        <f t="shared" si="21"/>
        <v>13.43</v>
      </c>
      <c r="Q116" s="5">
        <f t="shared" si="21"/>
        <v>11.5</v>
      </c>
      <c r="R116" s="5">
        <f t="shared" si="21"/>
        <v>8.91</v>
      </c>
      <c r="S116" s="5">
        <f t="shared" si="20"/>
        <v>8.08</v>
      </c>
      <c r="T116" s="5">
        <f t="shared" si="20"/>
        <v>6.28</v>
      </c>
      <c r="U116" s="5">
        <f t="shared" si="20"/>
        <v>4.47</v>
      </c>
      <c r="V116" s="5">
        <f t="shared" si="20"/>
        <v>4.2</v>
      </c>
      <c r="W116" s="5">
        <f t="shared" si="20"/>
        <v>3.41</v>
      </c>
      <c r="X116" s="5">
        <f t="shared" si="20"/>
        <v>3.01</v>
      </c>
      <c r="Y116" s="5">
        <f t="shared" si="20"/>
        <v>2.59</v>
      </c>
      <c r="Z116" s="5">
        <f t="shared" si="20"/>
        <v>2.52</v>
      </c>
      <c r="AA116" s="5">
        <f t="shared" si="20"/>
        <v>2.26</v>
      </c>
      <c r="AB116" s="5">
        <f t="shared" si="20"/>
        <v>1.88</v>
      </c>
      <c r="AC116" s="5">
        <f t="shared" si="20"/>
        <v>1.57</v>
      </c>
      <c r="AD116" s="5">
        <f t="shared" si="20"/>
        <v>1.52</v>
      </c>
      <c r="AE116" s="5">
        <f t="shared" si="20"/>
        <v>1.3</v>
      </c>
      <c r="AF116" s="5">
        <f t="shared" si="20"/>
        <v>1.25</v>
      </c>
      <c r="AG116" s="5">
        <f t="shared" si="20"/>
        <v>1.2</v>
      </c>
      <c r="AH116" s="5">
        <f t="shared" si="17"/>
        <v>1.04</v>
      </c>
      <c r="AI116" s="5">
        <f t="shared" si="17"/>
        <v>0.94</v>
      </c>
      <c r="AJ116" s="5">
        <f t="shared" si="17"/>
        <v>0.9</v>
      </c>
    </row>
    <row r="117" spans="1:36">
      <c r="A117" t="str">
        <f>"primary_archetype_"&amp;TEXT(ROUND(Table213[[#This Row],[2016]],1),"0.0")</f>
        <v>primary_archetype_18.8</v>
      </c>
      <c r="B117" s="5">
        <f t="shared" si="13"/>
        <v>18.8</v>
      </c>
      <c r="C117" s="5">
        <f t="shared" si="21"/>
        <v>18.8</v>
      </c>
      <c r="D117" s="5">
        <f t="shared" si="21"/>
        <v>18.8</v>
      </c>
      <c r="E117" s="5">
        <f t="shared" si="21"/>
        <v>18.45</v>
      </c>
      <c r="F117" s="5">
        <f t="shared" si="21"/>
        <v>17.6</v>
      </c>
      <c r="G117" s="5">
        <f t="shared" si="21"/>
        <v>17.72</v>
      </c>
      <c r="H117" s="5">
        <f t="shared" si="21"/>
        <v>17.35</v>
      </c>
      <c r="I117" s="5">
        <f t="shared" si="21"/>
        <v>16.63</v>
      </c>
      <c r="J117" s="5">
        <f t="shared" si="21"/>
        <v>16.23</v>
      </c>
      <c r="K117" s="5">
        <f t="shared" si="21"/>
        <v>15.82</v>
      </c>
      <c r="L117" s="5">
        <f t="shared" si="21"/>
        <v>15.17</v>
      </c>
      <c r="M117" s="5">
        <f t="shared" si="21"/>
        <v>15.09</v>
      </c>
      <c r="N117" s="5">
        <f t="shared" si="21"/>
        <v>14.56</v>
      </c>
      <c r="O117" s="5">
        <f t="shared" si="21"/>
        <v>14.01</v>
      </c>
      <c r="P117" s="5">
        <f t="shared" si="21"/>
        <v>13.36</v>
      </c>
      <c r="Q117" s="5">
        <f t="shared" si="21"/>
        <v>11.44</v>
      </c>
      <c r="R117" s="5">
        <f t="shared" si="21"/>
        <v>8.86</v>
      </c>
      <c r="S117" s="5">
        <f t="shared" si="20"/>
        <v>8.04</v>
      </c>
      <c r="T117" s="5">
        <f t="shared" si="20"/>
        <v>6.25</v>
      </c>
      <c r="U117" s="5">
        <f t="shared" si="20"/>
        <v>4.45</v>
      </c>
      <c r="V117" s="5">
        <f t="shared" si="20"/>
        <v>4.19</v>
      </c>
      <c r="W117" s="5">
        <f t="shared" si="20"/>
        <v>3.4</v>
      </c>
      <c r="X117" s="5">
        <f t="shared" si="20"/>
        <v>3</v>
      </c>
      <c r="Y117" s="5">
        <f t="shared" si="20"/>
        <v>2.58</v>
      </c>
      <c r="Z117" s="5">
        <f t="shared" si="20"/>
        <v>2.51</v>
      </c>
      <c r="AA117" s="5">
        <f t="shared" si="20"/>
        <v>2.25</v>
      </c>
      <c r="AB117" s="5">
        <f t="shared" si="20"/>
        <v>1.87</v>
      </c>
      <c r="AC117" s="5">
        <f t="shared" si="20"/>
        <v>1.56</v>
      </c>
      <c r="AD117" s="5">
        <f t="shared" si="20"/>
        <v>1.51</v>
      </c>
      <c r="AE117" s="5">
        <f t="shared" si="20"/>
        <v>1.3</v>
      </c>
      <c r="AF117" s="5">
        <f t="shared" si="20"/>
        <v>1.24</v>
      </c>
      <c r="AG117" s="5">
        <f t="shared" si="20"/>
        <v>1.2</v>
      </c>
      <c r="AH117" s="5">
        <f t="shared" si="17"/>
        <v>1.04</v>
      </c>
      <c r="AI117" s="5">
        <f t="shared" si="17"/>
        <v>0.94</v>
      </c>
      <c r="AJ117" s="5">
        <f t="shared" si="17"/>
        <v>0.9</v>
      </c>
    </row>
    <row r="118" spans="1:36">
      <c r="A118" t="str">
        <f>"primary_archetype_"&amp;TEXT(ROUND(Table213[[#This Row],[2016]],1),"0.0")</f>
        <v>primary_archetype_18.7</v>
      </c>
      <c r="B118" s="5">
        <f t="shared" si="13"/>
        <v>18.7</v>
      </c>
      <c r="C118" s="5">
        <f t="shared" si="21"/>
        <v>18.7</v>
      </c>
      <c r="D118" s="5">
        <f t="shared" si="21"/>
        <v>18.7</v>
      </c>
      <c r="E118" s="5">
        <f t="shared" si="21"/>
        <v>18.35</v>
      </c>
      <c r="F118" s="5">
        <f t="shared" si="21"/>
        <v>17.51</v>
      </c>
      <c r="G118" s="5">
        <f t="shared" si="21"/>
        <v>17.62</v>
      </c>
      <c r="H118" s="5">
        <f t="shared" si="21"/>
        <v>17.26</v>
      </c>
      <c r="I118" s="5">
        <f t="shared" si="21"/>
        <v>16.55</v>
      </c>
      <c r="J118" s="5">
        <f t="shared" si="21"/>
        <v>16.15</v>
      </c>
      <c r="K118" s="5">
        <f t="shared" si="21"/>
        <v>15.74</v>
      </c>
      <c r="L118" s="5">
        <f t="shared" si="21"/>
        <v>15.09</v>
      </c>
      <c r="M118" s="5">
        <f t="shared" si="21"/>
        <v>15.01</v>
      </c>
      <c r="N118" s="5">
        <f t="shared" si="21"/>
        <v>14.48</v>
      </c>
      <c r="O118" s="5">
        <f t="shared" si="21"/>
        <v>13.94</v>
      </c>
      <c r="P118" s="5">
        <f t="shared" si="21"/>
        <v>13.29</v>
      </c>
      <c r="Q118" s="5">
        <f t="shared" si="21"/>
        <v>11.38</v>
      </c>
      <c r="R118" s="5">
        <f t="shared" si="21"/>
        <v>8.82</v>
      </c>
      <c r="S118" s="5">
        <f t="shared" si="20"/>
        <v>8</v>
      </c>
      <c r="T118" s="5">
        <f t="shared" si="20"/>
        <v>6.22</v>
      </c>
      <c r="U118" s="5">
        <f t="shared" si="20"/>
        <v>4.43</v>
      </c>
      <c r="V118" s="5">
        <f t="shared" si="20"/>
        <v>4.17</v>
      </c>
      <c r="W118" s="5">
        <f t="shared" si="20"/>
        <v>3.38</v>
      </c>
      <c r="X118" s="5">
        <f t="shared" si="20"/>
        <v>2.98</v>
      </c>
      <c r="Y118" s="5">
        <f t="shared" si="20"/>
        <v>2.57</v>
      </c>
      <c r="Z118" s="5">
        <f t="shared" si="20"/>
        <v>2.51</v>
      </c>
      <c r="AA118" s="5">
        <f t="shared" si="20"/>
        <v>2.25</v>
      </c>
      <c r="AB118" s="5">
        <f t="shared" si="20"/>
        <v>1.87</v>
      </c>
      <c r="AC118" s="5">
        <f t="shared" si="20"/>
        <v>1.56</v>
      </c>
      <c r="AD118" s="5">
        <f t="shared" si="20"/>
        <v>1.51</v>
      </c>
      <c r="AE118" s="5">
        <f t="shared" si="20"/>
        <v>1.3</v>
      </c>
      <c r="AF118" s="5">
        <f t="shared" si="20"/>
        <v>1.24</v>
      </c>
      <c r="AG118" s="5">
        <f t="shared" si="20"/>
        <v>1.2</v>
      </c>
      <c r="AH118" s="5">
        <f t="shared" si="17"/>
        <v>1.04</v>
      </c>
      <c r="AI118" s="5">
        <f t="shared" si="17"/>
        <v>0.94</v>
      </c>
      <c r="AJ118" s="5">
        <f t="shared" si="17"/>
        <v>0.9</v>
      </c>
    </row>
    <row r="119" spans="1:36">
      <c r="A119" t="str">
        <f>"primary_archetype_"&amp;TEXT(ROUND(Table213[[#This Row],[2016]],1),"0.0")</f>
        <v>primary_archetype_18.6</v>
      </c>
      <c r="B119" s="5">
        <f t="shared" si="13"/>
        <v>18.6</v>
      </c>
      <c r="C119" s="5">
        <f t="shared" si="21"/>
        <v>18.6</v>
      </c>
      <c r="D119" s="5">
        <f t="shared" si="21"/>
        <v>18.6</v>
      </c>
      <c r="E119" s="5">
        <f t="shared" si="21"/>
        <v>18.25</v>
      </c>
      <c r="F119" s="5">
        <f t="shared" si="21"/>
        <v>17.41</v>
      </c>
      <c r="G119" s="5">
        <f t="shared" si="21"/>
        <v>17.53</v>
      </c>
      <c r="H119" s="5">
        <f t="shared" si="21"/>
        <v>17.16</v>
      </c>
      <c r="I119" s="5">
        <f t="shared" si="21"/>
        <v>16.46</v>
      </c>
      <c r="J119" s="5">
        <f t="shared" si="21"/>
        <v>16.06</v>
      </c>
      <c r="K119" s="5">
        <f t="shared" si="21"/>
        <v>15.66</v>
      </c>
      <c r="L119" s="5">
        <f t="shared" si="21"/>
        <v>15.01</v>
      </c>
      <c r="M119" s="5">
        <f t="shared" si="21"/>
        <v>14.94</v>
      </c>
      <c r="N119" s="5">
        <f t="shared" si="21"/>
        <v>14.41</v>
      </c>
      <c r="O119" s="5">
        <f t="shared" si="21"/>
        <v>13.86</v>
      </c>
      <c r="P119" s="5">
        <f t="shared" si="21"/>
        <v>13.22</v>
      </c>
      <c r="Q119" s="5">
        <f t="shared" si="21"/>
        <v>11.33</v>
      </c>
      <c r="R119" s="5">
        <f t="shared" si="21"/>
        <v>8.77</v>
      </c>
      <c r="S119" s="5">
        <f t="shared" si="20"/>
        <v>7.96</v>
      </c>
      <c r="T119" s="5">
        <f t="shared" si="20"/>
        <v>6.19</v>
      </c>
      <c r="U119" s="5">
        <f t="shared" si="20"/>
        <v>4.41</v>
      </c>
      <c r="V119" s="5">
        <f t="shared" si="20"/>
        <v>4.15</v>
      </c>
      <c r="W119" s="5">
        <f t="shared" si="20"/>
        <v>3.37</v>
      </c>
      <c r="X119" s="5">
        <f t="shared" si="20"/>
        <v>2.97</v>
      </c>
      <c r="Y119" s="5">
        <f t="shared" si="20"/>
        <v>2.56</v>
      </c>
      <c r="Z119" s="5">
        <f t="shared" si="20"/>
        <v>2.5</v>
      </c>
      <c r="AA119" s="5">
        <f t="shared" si="20"/>
        <v>2.24</v>
      </c>
      <c r="AB119" s="5">
        <f t="shared" si="20"/>
        <v>1.87</v>
      </c>
      <c r="AC119" s="5">
        <f t="shared" si="20"/>
        <v>1.56</v>
      </c>
      <c r="AD119" s="5">
        <f t="shared" si="20"/>
        <v>1.51</v>
      </c>
      <c r="AE119" s="5">
        <f t="shared" si="20"/>
        <v>1.3</v>
      </c>
      <c r="AF119" s="5">
        <f t="shared" si="20"/>
        <v>1.24</v>
      </c>
      <c r="AG119" s="5">
        <f t="shared" si="20"/>
        <v>1.2</v>
      </c>
      <c r="AH119" s="5">
        <f t="shared" si="17"/>
        <v>1.04</v>
      </c>
      <c r="AI119" s="5">
        <f t="shared" si="17"/>
        <v>0.95</v>
      </c>
      <c r="AJ119" s="5">
        <f t="shared" si="17"/>
        <v>0.9</v>
      </c>
    </row>
    <row r="120" spans="1:36">
      <c r="A120" t="str">
        <f>"primary_archetype_"&amp;TEXT(ROUND(Table213[[#This Row],[2016]],1),"0.0")</f>
        <v>primary_archetype_18.5</v>
      </c>
      <c r="B120" s="5">
        <f t="shared" si="13"/>
        <v>18.5</v>
      </c>
      <c r="C120" s="5">
        <f t="shared" si="21"/>
        <v>18.5</v>
      </c>
      <c r="D120" s="5">
        <f t="shared" si="21"/>
        <v>18.5</v>
      </c>
      <c r="E120" s="5">
        <f t="shared" si="21"/>
        <v>18.15</v>
      </c>
      <c r="F120" s="5">
        <f t="shared" si="21"/>
        <v>17.32</v>
      </c>
      <c r="G120" s="5">
        <f t="shared" si="21"/>
        <v>17.44</v>
      </c>
      <c r="H120" s="5">
        <f t="shared" si="21"/>
        <v>17.07</v>
      </c>
      <c r="I120" s="5">
        <f t="shared" si="21"/>
        <v>16.37</v>
      </c>
      <c r="J120" s="5">
        <f t="shared" si="21"/>
        <v>15.98</v>
      </c>
      <c r="K120" s="5">
        <f t="shared" si="21"/>
        <v>15.57</v>
      </c>
      <c r="L120" s="5">
        <f t="shared" si="21"/>
        <v>14.93</v>
      </c>
      <c r="M120" s="5">
        <f t="shared" si="21"/>
        <v>14.86</v>
      </c>
      <c r="N120" s="5">
        <f t="shared" si="21"/>
        <v>14.33</v>
      </c>
      <c r="O120" s="5">
        <f t="shared" si="21"/>
        <v>13.79</v>
      </c>
      <c r="P120" s="5">
        <f t="shared" si="21"/>
        <v>13.15</v>
      </c>
      <c r="Q120" s="5">
        <f t="shared" si="21"/>
        <v>11.27</v>
      </c>
      <c r="R120" s="5">
        <f t="shared" si="21"/>
        <v>8.73</v>
      </c>
      <c r="S120" s="5">
        <f t="shared" si="20"/>
        <v>7.92</v>
      </c>
      <c r="T120" s="5">
        <f t="shared" si="20"/>
        <v>6.16</v>
      </c>
      <c r="U120" s="5">
        <f t="shared" si="20"/>
        <v>4.39</v>
      </c>
      <c r="V120" s="5">
        <f t="shared" si="20"/>
        <v>4.13</v>
      </c>
      <c r="W120" s="5">
        <f t="shared" si="20"/>
        <v>3.36</v>
      </c>
      <c r="X120" s="5">
        <f t="shared" si="20"/>
        <v>2.96</v>
      </c>
      <c r="Y120" s="5">
        <f t="shared" si="20"/>
        <v>2.55</v>
      </c>
      <c r="Z120" s="5">
        <f t="shared" si="20"/>
        <v>2.49</v>
      </c>
      <c r="AA120" s="5">
        <f t="shared" si="20"/>
        <v>2.23</v>
      </c>
      <c r="AB120" s="5">
        <f t="shared" si="20"/>
        <v>1.86</v>
      </c>
      <c r="AC120" s="5">
        <f t="shared" si="20"/>
        <v>1.56</v>
      </c>
      <c r="AD120" s="5">
        <f t="shared" si="20"/>
        <v>1.5</v>
      </c>
      <c r="AE120" s="5">
        <f t="shared" si="20"/>
        <v>1.3</v>
      </c>
      <c r="AF120" s="5">
        <f t="shared" si="20"/>
        <v>1.24</v>
      </c>
      <c r="AG120" s="5">
        <f t="shared" si="20"/>
        <v>1.2</v>
      </c>
      <c r="AH120" s="5">
        <f t="shared" si="17"/>
        <v>1.04</v>
      </c>
      <c r="AI120" s="5">
        <f t="shared" si="17"/>
        <v>0.95</v>
      </c>
      <c r="AJ120" s="5">
        <f t="shared" si="17"/>
        <v>0.9</v>
      </c>
    </row>
    <row r="121" spans="1:36">
      <c r="A121" t="str">
        <f>"primary_archetype_"&amp;TEXT(ROUND(Table213[[#This Row],[2016]],1),"0.0")</f>
        <v>primary_archetype_18.4</v>
      </c>
      <c r="B121" s="5">
        <f t="shared" si="13"/>
        <v>18.4</v>
      </c>
      <c r="C121" s="5">
        <f t="shared" si="21"/>
        <v>18.4</v>
      </c>
      <c r="D121" s="5">
        <f t="shared" si="21"/>
        <v>18.4</v>
      </c>
      <c r="E121" s="5">
        <f t="shared" si="21"/>
        <v>18.06</v>
      </c>
      <c r="F121" s="5">
        <f t="shared" si="21"/>
        <v>17.23</v>
      </c>
      <c r="G121" s="5">
        <f t="shared" si="21"/>
        <v>17.34</v>
      </c>
      <c r="H121" s="5">
        <f t="shared" si="21"/>
        <v>16.98</v>
      </c>
      <c r="I121" s="5">
        <f t="shared" si="21"/>
        <v>16.28</v>
      </c>
      <c r="J121" s="5">
        <f t="shared" si="21"/>
        <v>15.89</v>
      </c>
      <c r="K121" s="5">
        <f t="shared" si="21"/>
        <v>15.49</v>
      </c>
      <c r="L121" s="5">
        <f t="shared" si="21"/>
        <v>14.85</v>
      </c>
      <c r="M121" s="5">
        <f t="shared" si="21"/>
        <v>14.78</v>
      </c>
      <c r="N121" s="5">
        <f t="shared" si="21"/>
        <v>14.26</v>
      </c>
      <c r="O121" s="5">
        <f t="shared" si="21"/>
        <v>13.72</v>
      </c>
      <c r="P121" s="5">
        <f t="shared" si="21"/>
        <v>13.08</v>
      </c>
      <c r="Q121" s="5">
        <f t="shared" si="21"/>
        <v>11.21</v>
      </c>
      <c r="R121" s="5">
        <f t="shared" si="21"/>
        <v>8.69</v>
      </c>
      <c r="S121" s="5">
        <f t="shared" si="20"/>
        <v>7.88</v>
      </c>
      <c r="T121" s="5">
        <f t="shared" si="20"/>
        <v>6.13</v>
      </c>
      <c r="U121" s="5">
        <f t="shared" si="20"/>
        <v>4.37</v>
      </c>
      <c r="V121" s="5">
        <f t="shared" si="20"/>
        <v>4.12</v>
      </c>
      <c r="W121" s="5">
        <f t="shared" si="20"/>
        <v>3.34</v>
      </c>
      <c r="X121" s="5">
        <f t="shared" si="20"/>
        <v>2.95</v>
      </c>
      <c r="Y121" s="5">
        <f t="shared" si="20"/>
        <v>2.54</v>
      </c>
      <c r="Z121" s="5">
        <f t="shared" si="20"/>
        <v>2.48</v>
      </c>
      <c r="AA121" s="5">
        <f t="shared" si="20"/>
        <v>2.23</v>
      </c>
      <c r="AB121" s="5">
        <f t="shared" si="20"/>
        <v>1.86</v>
      </c>
      <c r="AC121" s="5">
        <f t="shared" si="20"/>
        <v>1.55</v>
      </c>
      <c r="AD121" s="5">
        <f t="shared" si="20"/>
        <v>1.5</v>
      </c>
      <c r="AE121" s="5">
        <f t="shared" si="20"/>
        <v>1.3</v>
      </c>
      <c r="AF121" s="5">
        <f t="shared" si="20"/>
        <v>1.24</v>
      </c>
      <c r="AG121" s="5">
        <f t="shared" si="20"/>
        <v>1.2</v>
      </c>
      <c r="AH121" s="5">
        <f t="shared" si="17"/>
        <v>1.04</v>
      </c>
      <c r="AI121" s="5">
        <f t="shared" si="17"/>
        <v>0.95</v>
      </c>
      <c r="AJ121" s="5">
        <f t="shared" si="17"/>
        <v>0.9</v>
      </c>
    </row>
    <row r="122" spans="1:36">
      <c r="A122" t="str">
        <f>"primary_archetype_"&amp;TEXT(ROUND(Table213[[#This Row],[2016]],1),"0.0")</f>
        <v>primary_archetype_18.3</v>
      </c>
      <c r="B122" s="5">
        <f t="shared" si="13"/>
        <v>18.3</v>
      </c>
      <c r="C122" s="5">
        <f t="shared" si="21"/>
        <v>18.3</v>
      </c>
      <c r="D122" s="5">
        <f t="shared" si="21"/>
        <v>18.3</v>
      </c>
      <c r="E122" s="5">
        <f t="shared" si="21"/>
        <v>17.96</v>
      </c>
      <c r="F122" s="5">
        <f t="shared" si="21"/>
        <v>17.13</v>
      </c>
      <c r="G122" s="5">
        <f t="shared" si="21"/>
        <v>17.25</v>
      </c>
      <c r="H122" s="5">
        <f t="shared" si="21"/>
        <v>16.89</v>
      </c>
      <c r="I122" s="5">
        <f t="shared" si="21"/>
        <v>16.2</v>
      </c>
      <c r="J122" s="5">
        <f t="shared" si="21"/>
        <v>15.81</v>
      </c>
      <c r="K122" s="5">
        <f t="shared" si="21"/>
        <v>15.41</v>
      </c>
      <c r="L122" s="5">
        <f t="shared" si="21"/>
        <v>14.77</v>
      </c>
      <c r="M122" s="5">
        <f t="shared" si="21"/>
        <v>14.7</v>
      </c>
      <c r="N122" s="5">
        <f t="shared" si="21"/>
        <v>14.18</v>
      </c>
      <c r="O122" s="5">
        <f t="shared" si="21"/>
        <v>13.64</v>
      </c>
      <c r="P122" s="5">
        <f t="shared" si="21"/>
        <v>13.01</v>
      </c>
      <c r="Q122" s="5">
        <f t="shared" si="21"/>
        <v>11.15</v>
      </c>
      <c r="R122" s="5">
        <f t="shared" si="21"/>
        <v>8.64</v>
      </c>
      <c r="S122" s="5">
        <f t="shared" si="20"/>
        <v>7.84</v>
      </c>
      <c r="T122" s="5">
        <f t="shared" si="20"/>
        <v>6.1</v>
      </c>
      <c r="U122" s="5">
        <f t="shared" si="20"/>
        <v>4.35</v>
      </c>
      <c r="V122" s="5">
        <f t="shared" si="20"/>
        <v>4.1</v>
      </c>
      <c r="W122" s="5">
        <f t="shared" si="20"/>
        <v>3.33</v>
      </c>
      <c r="X122" s="5">
        <f t="shared" si="20"/>
        <v>2.94</v>
      </c>
      <c r="Y122" s="5">
        <f t="shared" si="20"/>
        <v>2.54</v>
      </c>
      <c r="Z122" s="5">
        <f t="shared" si="20"/>
        <v>2.47</v>
      </c>
      <c r="AA122" s="5">
        <f t="shared" si="20"/>
        <v>2.22</v>
      </c>
      <c r="AB122" s="5">
        <f t="shared" si="20"/>
        <v>1.85</v>
      </c>
      <c r="AC122" s="5">
        <f t="shared" si="20"/>
        <v>1.55</v>
      </c>
      <c r="AD122" s="5">
        <f t="shared" si="20"/>
        <v>1.5</v>
      </c>
      <c r="AE122" s="5">
        <f t="shared" si="20"/>
        <v>1.3</v>
      </c>
      <c r="AF122" s="5">
        <f t="shared" si="20"/>
        <v>1.24</v>
      </c>
      <c r="AG122" s="5">
        <f t="shared" si="20"/>
        <v>1.2</v>
      </c>
      <c r="AH122" s="5">
        <f t="shared" si="17"/>
        <v>1.04</v>
      </c>
      <c r="AI122" s="5">
        <f t="shared" si="17"/>
        <v>0.95</v>
      </c>
      <c r="AJ122" s="5">
        <f t="shared" si="17"/>
        <v>0.9</v>
      </c>
    </row>
    <row r="123" spans="1:36">
      <c r="A123" t="str">
        <f>"primary_archetype_"&amp;TEXT(ROUND(Table213[[#This Row],[2016]],1),"0.0")</f>
        <v>primary_archetype_18.2</v>
      </c>
      <c r="B123" s="5">
        <f t="shared" si="13"/>
        <v>18.2</v>
      </c>
      <c r="C123" s="5">
        <f t="shared" si="21"/>
        <v>18.2</v>
      </c>
      <c r="D123" s="5">
        <f t="shared" si="21"/>
        <v>18.2</v>
      </c>
      <c r="E123" s="5">
        <f t="shared" si="21"/>
        <v>17.86</v>
      </c>
      <c r="F123" s="5">
        <f t="shared" si="21"/>
        <v>17.04</v>
      </c>
      <c r="G123" s="5">
        <f t="shared" si="21"/>
        <v>17.15</v>
      </c>
      <c r="H123" s="5">
        <f t="shared" si="21"/>
        <v>16.8</v>
      </c>
      <c r="I123" s="5">
        <f t="shared" si="21"/>
        <v>16.11</v>
      </c>
      <c r="J123" s="5">
        <f t="shared" si="21"/>
        <v>15.72</v>
      </c>
      <c r="K123" s="5">
        <f t="shared" si="21"/>
        <v>15.32</v>
      </c>
      <c r="L123" s="5">
        <f t="shared" si="21"/>
        <v>14.7</v>
      </c>
      <c r="M123" s="5">
        <f t="shared" si="21"/>
        <v>14.62</v>
      </c>
      <c r="N123" s="5">
        <f t="shared" si="21"/>
        <v>14.1</v>
      </c>
      <c r="O123" s="5">
        <f t="shared" si="21"/>
        <v>13.57</v>
      </c>
      <c r="P123" s="5">
        <f t="shared" si="21"/>
        <v>12.94</v>
      </c>
      <c r="Q123" s="5">
        <f t="shared" si="21"/>
        <v>11.09</v>
      </c>
      <c r="R123" s="5">
        <f t="shared" si="21"/>
        <v>8.6</v>
      </c>
      <c r="S123" s="5">
        <f t="shared" si="20"/>
        <v>7.8</v>
      </c>
      <c r="T123" s="5">
        <f t="shared" si="20"/>
        <v>6.07</v>
      </c>
      <c r="U123" s="5">
        <f t="shared" si="20"/>
        <v>4.33</v>
      </c>
      <c r="V123" s="5">
        <f t="shared" si="20"/>
        <v>4.08</v>
      </c>
      <c r="W123" s="5">
        <f t="shared" si="20"/>
        <v>3.32</v>
      </c>
      <c r="X123" s="5">
        <f t="shared" si="20"/>
        <v>2.93</v>
      </c>
      <c r="Y123" s="5">
        <f t="shared" si="20"/>
        <v>2.53</v>
      </c>
      <c r="Z123" s="5">
        <f t="shared" si="20"/>
        <v>2.46</v>
      </c>
      <c r="AA123" s="5">
        <f t="shared" si="20"/>
        <v>2.21</v>
      </c>
      <c r="AB123" s="5">
        <f t="shared" si="20"/>
        <v>1.85</v>
      </c>
      <c r="AC123" s="5">
        <f t="shared" si="20"/>
        <v>1.55</v>
      </c>
      <c r="AD123" s="5">
        <f t="shared" si="20"/>
        <v>1.5</v>
      </c>
      <c r="AE123" s="5">
        <f t="shared" si="20"/>
        <v>1.29</v>
      </c>
      <c r="AF123" s="5">
        <f t="shared" si="20"/>
        <v>1.24</v>
      </c>
      <c r="AG123" s="5">
        <f t="shared" si="20"/>
        <v>1.2</v>
      </c>
      <c r="AH123" s="5">
        <f t="shared" si="17"/>
        <v>1.04</v>
      </c>
      <c r="AI123" s="5">
        <f t="shared" si="17"/>
        <v>0.95</v>
      </c>
      <c r="AJ123" s="5">
        <f t="shared" si="17"/>
        <v>0.9</v>
      </c>
    </row>
    <row r="124" spans="1:36">
      <c r="A124" t="str">
        <f>"primary_archetype_"&amp;TEXT(ROUND(Table213[[#This Row],[2016]],1),"0.0")</f>
        <v>primary_archetype_18.1</v>
      </c>
      <c r="B124" s="5">
        <f t="shared" si="13"/>
        <v>18.1</v>
      </c>
      <c r="C124" s="5">
        <f t="shared" si="21"/>
        <v>18.1</v>
      </c>
      <c r="D124" s="5">
        <f t="shared" si="21"/>
        <v>18.1</v>
      </c>
      <c r="E124" s="5">
        <f t="shared" si="21"/>
        <v>17.76</v>
      </c>
      <c r="F124" s="5">
        <f t="shared" si="21"/>
        <v>16.95</v>
      </c>
      <c r="G124" s="5">
        <f t="shared" si="21"/>
        <v>17.06</v>
      </c>
      <c r="H124" s="5">
        <f t="shared" si="21"/>
        <v>16.71</v>
      </c>
      <c r="I124" s="5">
        <f t="shared" si="21"/>
        <v>16.02</v>
      </c>
      <c r="J124" s="5">
        <f t="shared" si="21"/>
        <v>15.64</v>
      </c>
      <c r="K124" s="5">
        <f t="shared" si="21"/>
        <v>15.24</v>
      </c>
      <c r="L124" s="5">
        <f t="shared" si="21"/>
        <v>14.62</v>
      </c>
      <c r="M124" s="5">
        <f t="shared" si="21"/>
        <v>14.54</v>
      </c>
      <c r="N124" s="5">
        <f t="shared" si="21"/>
        <v>14.03</v>
      </c>
      <c r="O124" s="5">
        <f t="shared" si="21"/>
        <v>13.5</v>
      </c>
      <c r="P124" s="5">
        <f t="shared" si="21"/>
        <v>12.87</v>
      </c>
      <c r="Q124" s="5">
        <f t="shared" si="21"/>
        <v>11.03</v>
      </c>
      <c r="R124" s="5">
        <f t="shared" ref="R124:AG139" si="22">MROUND((($B124-$AH$2)*((R$2-$AH$2)/($B$2-$AH$2)))+$AH$2,0.01)</f>
        <v>8.55</v>
      </c>
      <c r="S124" s="5">
        <f t="shared" si="22"/>
        <v>7.76</v>
      </c>
      <c r="T124" s="5">
        <f t="shared" si="22"/>
        <v>6.05</v>
      </c>
      <c r="U124" s="5">
        <f t="shared" si="22"/>
        <v>4.31</v>
      </c>
      <c r="V124" s="5">
        <f t="shared" si="22"/>
        <v>4.06</v>
      </c>
      <c r="W124" s="5">
        <f t="shared" si="22"/>
        <v>3.3</v>
      </c>
      <c r="X124" s="5">
        <f t="shared" si="22"/>
        <v>2.92</v>
      </c>
      <c r="Y124" s="5">
        <f t="shared" si="22"/>
        <v>2.52</v>
      </c>
      <c r="Z124" s="5">
        <f t="shared" si="22"/>
        <v>2.46</v>
      </c>
      <c r="AA124" s="5">
        <f t="shared" si="22"/>
        <v>2.21</v>
      </c>
      <c r="AB124" s="5">
        <f t="shared" si="22"/>
        <v>1.84</v>
      </c>
      <c r="AC124" s="5">
        <f t="shared" si="22"/>
        <v>1.54</v>
      </c>
      <c r="AD124" s="5">
        <f t="shared" si="22"/>
        <v>1.49</v>
      </c>
      <c r="AE124" s="5">
        <f t="shared" si="22"/>
        <v>1.29</v>
      </c>
      <c r="AF124" s="5">
        <f t="shared" si="22"/>
        <v>1.24</v>
      </c>
      <c r="AG124" s="5">
        <f t="shared" si="22"/>
        <v>1.19</v>
      </c>
      <c r="AH124" s="5">
        <f t="shared" si="17"/>
        <v>1.04</v>
      </c>
      <c r="AI124" s="5">
        <f t="shared" si="17"/>
        <v>0.95</v>
      </c>
      <c r="AJ124" s="5">
        <f t="shared" si="17"/>
        <v>0.91</v>
      </c>
    </row>
    <row r="125" spans="1:36">
      <c r="A125" t="str">
        <f>"primary_archetype_"&amp;TEXT(ROUND(Table213[[#This Row],[2016]],1),"0.0")</f>
        <v>primary_archetype_18.0</v>
      </c>
      <c r="B125" s="5">
        <f t="shared" si="13"/>
        <v>18</v>
      </c>
      <c r="C125" s="5">
        <f t="shared" ref="C125:R140" si="23">MROUND((($B125-$AH$2)*((C$2-$AH$2)/($B$2-$AH$2)))+$AH$2,0.01)</f>
        <v>18</v>
      </c>
      <c r="D125" s="5">
        <f t="shared" si="23"/>
        <v>18</v>
      </c>
      <c r="E125" s="5">
        <f t="shared" si="23"/>
        <v>17.66</v>
      </c>
      <c r="F125" s="5">
        <f t="shared" si="23"/>
        <v>16.85</v>
      </c>
      <c r="G125" s="5">
        <f t="shared" si="23"/>
        <v>16.97</v>
      </c>
      <c r="H125" s="5">
        <f t="shared" si="23"/>
        <v>16.61</v>
      </c>
      <c r="I125" s="5">
        <f t="shared" si="23"/>
        <v>15.93</v>
      </c>
      <c r="J125" s="5">
        <f t="shared" si="23"/>
        <v>15.55</v>
      </c>
      <c r="K125" s="5">
        <f t="shared" si="23"/>
        <v>15.16</v>
      </c>
      <c r="L125" s="5">
        <f t="shared" si="23"/>
        <v>14.54</v>
      </c>
      <c r="M125" s="5">
        <f t="shared" si="23"/>
        <v>14.46</v>
      </c>
      <c r="N125" s="5">
        <f t="shared" si="23"/>
        <v>13.95</v>
      </c>
      <c r="O125" s="5">
        <f t="shared" si="23"/>
        <v>13.42</v>
      </c>
      <c r="P125" s="5">
        <f t="shared" si="23"/>
        <v>12.8</v>
      </c>
      <c r="Q125" s="5">
        <f t="shared" si="23"/>
        <v>10.97</v>
      </c>
      <c r="R125" s="5">
        <f t="shared" si="23"/>
        <v>8.51</v>
      </c>
      <c r="S125" s="5">
        <f t="shared" si="22"/>
        <v>7.72</v>
      </c>
      <c r="T125" s="5">
        <f t="shared" si="22"/>
        <v>6.02</v>
      </c>
      <c r="U125" s="5">
        <f t="shared" si="22"/>
        <v>4.29</v>
      </c>
      <c r="V125" s="5">
        <f t="shared" si="22"/>
        <v>4.04</v>
      </c>
      <c r="W125" s="5">
        <f t="shared" si="22"/>
        <v>3.29</v>
      </c>
      <c r="X125" s="5">
        <f t="shared" si="22"/>
        <v>2.91</v>
      </c>
      <c r="Y125" s="5">
        <f t="shared" si="22"/>
        <v>2.51</v>
      </c>
      <c r="Z125" s="5">
        <f t="shared" si="22"/>
        <v>2.45</v>
      </c>
      <c r="AA125" s="5">
        <f t="shared" si="22"/>
        <v>2.2</v>
      </c>
      <c r="AB125" s="5">
        <f t="shared" si="22"/>
        <v>1.84</v>
      </c>
      <c r="AC125" s="5">
        <f t="shared" si="22"/>
        <v>1.54</v>
      </c>
      <c r="AD125" s="5">
        <f t="shared" si="22"/>
        <v>1.49</v>
      </c>
      <c r="AE125" s="5">
        <f t="shared" si="22"/>
        <v>1.29</v>
      </c>
      <c r="AF125" s="5">
        <f t="shared" si="22"/>
        <v>1.24</v>
      </c>
      <c r="AG125" s="5">
        <f t="shared" si="22"/>
        <v>1.19</v>
      </c>
      <c r="AH125" s="5">
        <f t="shared" si="17"/>
        <v>1.04</v>
      </c>
      <c r="AI125" s="5">
        <f t="shared" si="17"/>
        <v>0.95</v>
      </c>
      <c r="AJ125" s="5">
        <f t="shared" si="17"/>
        <v>0.91</v>
      </c>
    </row>
    <row r="126" spans="1:36">
      <c r="A126" t="str">
        <f>"primary_archetype_"&amp;TEXT(ROUND(Table213[[#This Row],[2016]],1),"0.0")</f>
        <v>primary_archetype_17.9</v>
      </c>
      <c r="B126" s="5">
        <f t="shared" si="13"/>
        <v>17.9</v>
      </c>
      <c r="C126" s="5">
        <f t="shared" si="23"/>
        <v>17.9</v>
      </c>
      <c r="D126" s="5">
        <f t="shared" si="23"/>
        <v>17.9</v>
      </c>
      <c r="E126" s="5">
        <f t="shared" si="23"/>
        <v>17.57</v>
      </c>
      <c r="F126" s="5">
        <f t="shared" si="23"/>
        <v>16.76</v>
      </c>
      <c r="G126" s="5">
        <f t="shared" si="23"/>
        <v>16.87</v>
      </c>
      <c r="H126" s="5">
        <f t="shared" si="23"/>
        <v>16.52</v>
      </c>
      <c r="I126" s="5">
        <f t="shared" si="23"/>
        <v>15.84</v>
      </c>
      <c r="J126" s="5">
        <f t="shared" si="23"/>
        <v>15.46</v>
      </c>
      <c r="K126" s="5">
        <f t="shared" si="23"/>
        <v>15.07</v>
      </c>
      <c r="L126" s="5">
        <f t="shared" si="23"/>
        <v>14.46</v>
      </c>
      <c r="M126" s="5">
        <f t="shared" si="23"/>
        <v>14.38</v>
      </c>
      <c r="N126" s="5">
        <f t="shared" si="23"/>
        <v>13.88</v>
      </c>
      <c r="O126" s="5">
        <f t="shared" si="23"/>
        <v>13.35</v>
      </c>
      <c r="P126" s="5">
        <f t="shared" si="23"/>
        <v>12.73</v>
      </c>
      <c r="Q126" s="5">
        <f t="shared" si="23"/>
        <v>10.92</v>
      </c>
      <c r="R126" s="5">
        <f t="shared" si="23"/>
        <v>8.47</v>
      </c>
      <c r="S126" s="5">
        <f t="shared" si="22"/>
        <v>7.68</v>
      </c>
      <c r="T126" s="5">
        <f t="shared" si="22"/>
        <v>5.99</v>
      </c>
      <c r="U126" s="5">
        <f t="shared" si="22"/>
        <v>4.27</v>
      </c>
      <c r="V126" s="5">
        <f t="shared" si="22"/>
        <v>4.03</v>
      </c>
      <c r="W126" s="5">
        <f t="shared" si="22"/>
        <v>3.28</v>
      </c>
      <c r="X126" s="5">
        <f t="shared" si="22"/>
        <v>2.9</v>
      </c>
      <c r="Y126" s="5">
        <f t="shared" si="22"/>
        <v>2.5</v>
      </c>
      <c r="Z126" s="5">
        <f t="shared" si="22"/>
        <v>2.44</v>
      </c>
      <c r="AA126" s="5">
        <f t="shared" si="22"/>
        <v>2.19</v>
      </c>
      <c r="AB126" s="5">
        <f t="shared" si="22"/>
        <v>1.83</v>
      </c>
      <c r="AC126" s="5">
        <f t="shared" si="22"/>
        <v>1.54</v>
      </c>
      <c r="AD126" s="5">
        <f t="shared" si="22"/>
        <v>1.49</v>
      </c>
      <c r="AE126" s="5">
        <f t="shared" si="22"/>
        <v>1.29</v>
      </c>
      <c r="AF126" s="5">
        <f t="shared" si="22"/>
        <v>1.23</v>
      </c>
      <c r="AG126" s="5">
        <f t="shared" si="22"/>
        <v>1.19</v>
      </c>
      <c r="AH126" s="5">
        <f t="shared" si="17"/>
        <v>1.04</v>
      </c>
      <c r="AI126" s="5">
        <f t="shared" si="17"/>
        <v>0.95</v>
      </c>
      <c r="AJ126" s="5">
        <f t="shared" si="17"/>
        <v>0.91</v>
      </c>
    </row>
    <row r="127" spans="1:36">
      <c r="A127" t="str">
        <f>"primary_archetype_"&amp;TEXT(ROUND(Table213[[#This Row],[2016]],1),"0.0")</f>
        <v>primary_archetype_17.8</v>
      </c>
      <c r="B127" s="5">
        <f t="shared" si="13"/>
        <v>17.8</v>
      </c>
      <c r="C127" s="5">
        <f t="shared" si="23"/>
        <v>17.8</v>
      </c>
      <c r="D127" s="5">
        <f t="shared" si="23"/>
        <v>17.8</v>
      </c>
      <c r="E127" s="5">
        <f t="shared" si="23"/>
        <v>17.47</v>
      </c>
      <c r="F127" s="5">
        <f t="shared" si="23"/>
        <v>16.67</v>
      </c>
      <c r="G127" s="5">
        <f t="shared" si="23"/>
        <v>16.78</v>
      </c>
      <c r="H127" s="5">
        <f t="shared" si="23"/>
        <v>16.43</v>
      </c>
      <c r="I127" s="5">
        <f t="shared" si="23"/>
        <v>15.76</v>
      </c>
      <c r="J127" s="5">
        <f t="shared" si="23"/>
        <v>15.38</v>
      </c>
      <c r="K127" s="5">
        <f t="shared" si="23"/>
        <v>14.99</v>
      </c>
      <c r="L127" s="5">
        <f t="shared" si="23"/>
        <v>14.38</v>
      </c>
      <c r="M127" s="5">
        <f t="shared" si="23"/>
        <v>14.3</v>
      </c>
      <c r="N127" s="5">
        <f t="shared" si="23"/>
        <v>13.8</v>
      </c>
      <c r="O127" s="5">
        <f t="shared" si="23"/>
        <v>13.28</v>
      </c>
      <c r="P127" s="5">
        <f t="shared" si="23"/>
        <v>12.66</v>
      </c>
      <c r="Q127" s="5">
        <f t="shared" si="23"/>
        <v>10.86</v>
      </c>
      <c r="R127" s="5">
        <f t="shared" si="23"/>
        <v>8.42</v>
      </c>
      <c r="S127" s="5">
        <f t="shared" si="22"/>
        <v>7.65</v>
      </c>
      <c r="T127" s="5">
        <f t="shared" si="22"/>
        <v>5.96</v>
      </c>
      <c r="U127" s="5">
        <f t="shared" si="22"/>
        <v>4.26</v>
      </c>
      <c r="V127" s="5">
        <f t="shared" si="22"/>
        <v>4.01</v>
      </c>
      <c r="W127" s="5">
        <f t="shared" si="22"/>
        <v>3.26</v>
      </c>
      <c r="X127" s="5">
        <f t="shared" si="22"/>
        <v>2.89</v>
      </c>
      <c r="Y127" s="5">
        <f t="shared" si="22"/>
        <v>2.49</v>
      </c>
      <c r="Z127" s="5">
        <f t="shared" si="22"/>
        <v>2.43</v>
      </c>
      <c r="AA127" s="5">
        <f t="shared" si="22"/>
        <v>2.19</v>
      </c>
      <c r="AB127" s="5">
        <f t="shared" si="22"/>
        <v>1.83</v>
      </c>
      <c r="AC127" s="5">
        <f t="shared" si="22"/>
        <v>1.53</v>
      </c>
      <c r="AD127" s="5">
        <f t="shared" si="22"/>
        <v>1.49</v>
      </c>
      <c r="AE127" s="5">
        <f t="shared" si="22"/>
        <v>1.29</v>
      </c>
      <c r="AF127" s="5">
        <f t="shared" si="22"/>
        <v>1.23</v>
      </c>
      <c r="AG127" s="5">
        <f t="shared" si="22"/>
        <v>1.19</v>
      </c>
      <c r="AH127" s="5">
        <f t="shared" si="17"/>
        <v>1.04</v>
      </c>
      <c r="AI127" s="5">
        <f t="shared" si="17"/>
        <v>0.95</v>
      </c>
      <c r="AJ127" s="5">
        <f t="shared" si="17"/>
        <v>0.91</v>
      </c>
    </row>
    <row r="128" spans="1:36">
      <c r="A128" t="str">
        <f>"primary_archetype_"&amp;TEXT(ROUND(Table213[[#This Row],[2016]],1),"0.0")</f>
        <v>primary_archetype_17.7</v>
      </c>
      <c r="B128" s="5">
        <f t="shared" si="13"/>
        <v>17.7</v>
      </c>
      <c r="C128" s="5">
        <f t="shared" si="23"/>
        <v>17.7</v>
      </c>
      <c r="D128" s="5">
        <f t="shared" si="23"/>
        <v>17.7</v>
      </c>
      <c r="E128" s="5">
        <f t="shared" si="23"/>
        <v>17.37</v>
      </c>
      <c r="F128" s="5">
        <f t="shared" si="23"/>
        <v>16.57</v>
      </c>
      <c r="G128" s="5">
        <f t="shared" si="23"/>
        <v>16.68</v>
      </c>
      <c r="H128" s="5">
        <f t="shared" si="23"/>
        <v>16.34</v>
      </c>
      <c r="I128" s="5">
        <f t="shared" si="23"/>
        <v>15.67</v>
      </c>
      <c r="J128" s="5">
        <f t="shared" si="23"/>
        <v>15.29</v>
      </c>
      <c r="K128" s="5">
        <f t="shared" si="23"/>
        <v>14.91</v>
      </c>
      <c r="L128" s="5">
        <f t="shared" si="23"/>
        <v>14.3</v>
      </c>
      <c r="M128" s="5">
        <f t="shared" si="23"/>
        <v>14.22</v>
      </c>
      <c r="N128" s="5">
        <f t="shared" si="23"/>
        <v>13.72</v>
      </c>
      <c r="O128" s="5">
        <f t="shared" si="23"/>
        <v>13.21</v>
      </c>
      <c r="P128" s="5">
        <f t="shared" si="23"/>
        <v>12.59</v>
      </c>
      <c r="Q128" s="5">
        <f t="shared" si="23"/>
        <v>10.8</v>
      </c>
      <c r="R128" s="5">
        <f t="shared" si="23"/>
        <v>8.38</v>
      </c>
      <c r="S128" s="5">
        <f t="shared" si="22"/>
        <v>7.61</v>
      </c>
      <c r="T128" s="5">
        <f t="shared" si="22"/>
        <v>5.93</v>
      </c>
      <c r="U128" s="5">
        <f t="shared" si="22"/>
        <v>4.24</v>
      </c>
      <c r="V128" s="5">
        <f t="shared" si="22"/>
        <v>3.99</v>
      </c>
      <c r="W128" s="5">
        <f t="shared" si="22"/>
        <v>3.25</v>
      </c>
      <c r="X128" s="5">
        <f t="shared" si="22"/>
        <v>2.87</v>
      </c>
      <c r="Y128" s="5">
        <f t="shared" si="22"/>
        <v>2.48</v>
      </c>
      <c r="Z128" s="5">
        <f t="shared" si="22"/>
        <v>2.42</v>
      </c>
      <c r="AA128" s="5">
        <f t="shared" si="22"/>
        <v>2.18</v>
      </c>
      <c r="AB128" s="5">
        <f t="shared" si="22"/>
        <v>1.82</v>
      </c>
      <c r="AC128" s="5">
        <f t="shared" si="22"/>
        <v>1.53</v>
      </c>
      <c r="AD128" s="5">
        <f t="shared" si="22"/>
        <v>1.48</v>
      </c>
      <c r="AE128" s="5">
        <f t="shared" si="22"/>
        <v>1.29</v>
      </c>
      <c r="AF128" s="5">
        <f t="shared" si="22"/>
        <v>1.23</v>
      </c>
      <c r="AG128" s="5">
        <f t="shared" si="22"/>
        <v>1.19</v>
      </c>
      <c r="AH128" s="5">
        <f t="shared" si="17"/>
        <v>1.04</v>
      </c>
      <c r="AI128" s="5">
        <f t="shared" si="17"/>
        <v>0.95</v>
      </c>
      <c r="AJ128" s="5">
        <f t="shared" si="17"/>
        <v>0.91</v>
      </c>
    </row>
    <row r="129" spans="1:36">
      <c r="A129" t="str">
        <f>"primary_archetype_"&amp;TEXT(ROUND(Table213[[#This Row],[2016]],1),"0.0")</f>
        <v>primary_archetype_17.6</v>
      </c>
      <c r="B129" s="5">
        <f t="shared" si="13"/>
        <v>17.6</v>
      </c>
      <c r="C129" s="5">
        <f t="shared" si="23"/>
        <v>17.6</v>
      </c>
      <c r="D129" s="5">
        <f t="shared" si="23"/>
        <v>17.6</v>
      </c>
      <c r="E129" s="5">
        <f t="shared" si="23"/>
        <v>17.27</v>
      </c>
      <c r="F129" s="5">
        <f t="shared" si="23"/>
        <v>16.48</v>
      </c>
      <c r="G129" s="5">
        <f t="shared" si="23"/>
        <v>16.59</v>
      </c>
      <c r="H129" s="5">
        <f t="shared" si="23"/>
        <v>16.25</v>
      </c>
      <c r="I129" s="5">
        <f t="shared" si="23"/>
        <v>15.58</v>
      </c>
      <c r="J129" s="5">
        <f t="shared" si="23"/>
        <v>15.21</v>
      </c>
      <c r="K129" s="5">
        <f t="shared" si="23"/>
        <v>14.82</v>
      </c>
      <c r="L129" s="5">
        <f t="shared" si="23"/>
        <v>14.22</v>
      </c>
      <c r="M129" s="5">
        <f t="shared" si="23"/>
        <v>14.14</v>
      </c>
      <c r="N129" s="5">
        <f t="shared" si="23"/>
        <v>13.65</v>
      </c>
      <c r="O129" s="5">
        <f t="shared" si="23"/>
        <v>13.13</v>
      </c>
      <c r="P129" s="5">
        <f t="shared" si="23"/>
        <v>12.52</v>
      </c>
      <c r="Q129" s="5">
        <f t="shared" si="23"/>
        <v>10.74</v>
      </c>
      <c r="R129" s="5">
        <f t="shared" si="23"/>
        <v>8.33</v>
      </c>
      <c r="S129" s="5">
        <f t="shared" si="22"/>
        <v>7.57</v>
      </c>
      <c r="T129" s="5">
        <f t="shared" si="22"/>
        <v>5.9</v>
      </c>
      <c r="U129" s="5">
        <f t="shared" si="22"/>
        <v>4.22</v>
      </c>
      <c r="V129" s="5">
        <f t="shared" si="22"/>
        <v>3.97</v>
      </c>
      <c r="W129" s="5">
        <f t="shared" si="22"/>
        <v>3.24</v>
      </c>
      <c r="X129" s="5">
        <f t="shared" si="22"/>
        <v>2.86</v>
      </c>
      <c r="Y129" s="5">
        <f t="shared" si="22"/>
        <v>2.47</v>
      </c>
      <c r="Z129" s="5">
        <f t="shared" si="22"/>
        <v>2.41</v>
      </c>
      <c r="AA129" s="5">
        <f t="shared" si="22"/>
        <v>2.17</v>
      </c>
      <c r="AB129" s="5">
        <f t="shared" si="22"/>
        <v>1.82</v>
      </c>
      <c r="AC129" s="5">
        <f t="shared" si="22"/>
        <v>1.53</v>
      </c>
      <c r="AD129" s="5">
        <f t="shared" si="22"/>
        <v>1.48</v>
      </c>
      <c r="AE129" s="5">
        <f t="shared" si="22"/>
        <v>1.29</v>
      </c>
      <c r="AF129" s="5">
        <f t="shared" si="22"/>
        <v>1.23</v>
      </c>
      <c r="AG129" s="5">
        <f t="shared" si="22"/>
        <v>1.19</v>
      </c>
      <c r="AH129" s="5">
        <f t="shared" si="17"/>
        <v>1.04</v>
      </c>
      <c r="AI129" s="5">
        <f t="shared" si="17"/>
        <v>0.95</v>
      </c>
      <c r="AJ129" s="5">
        <f t="shared" si="17"/>
        <v>0.91</v>
      </c>
    </row>
    <row r="130" spans="1:36">
      <c r="A130" t="str">
        <f>"primary_archetype_"&amp;TEXT(ROUND(Table213[[#This Row],[2016]],1),"0.0")</f>
        <v>primary_archetype_17.5</v>
      </c>
      <c r="B130" s="5">
        <f t="shared" si="13"/>
        <v>17.5</v>
      </c>
      <c r="C130" s="5">
        <f t="shared" si="23"/>
        <v>17.5</v>
      </c>
      <c r="D130" s="5">
        <f t="shared" si="23"/>
        <v>17.5</v>
      </c>
      <c r="E130" s="5">
        <f t="shared" si="23"/>
        <v>17.17</v>
      </c>
      <c r="F130" s="5">
        <f t="shared" si="23"/>
        <v>16.39</v>
      </c>
      <c r="G130" s="5">
        <f t="shared" si="23"/>
        <v>16.5</v>
      </c>
      <c r="H130" s="5">
        <f t="shared" si="23"/>
        <v>16.15</v>
      </c>
      <c r="I130" s="5">
        <f t="shared" si="23"/>
        <v>15.49</v>
      </c>
      <c r="J130" s="5">
        <f t="shared" si="23"/>
        <v>15.12</v>
      </c>
      <c r="K130" s="5">
        <f t="shared" si="23"/>
        <v>14.74</v>
      </c>
      <c r="L130" s="5">
        <f t="shared" si="23"/>
        <v>14.14</v>
      </c>
      <c r="M130" s="5">
        <f t="shared" si="23"/>
        <v>14.06</v>
      </c>
      <c r="N130" s="5">
        <f t="shared" si="23"/>
        <v>13.57</v>
      </c>
      <c r="O130" s="5">
        <f t="shared" si="23"/>
        <v>13.06</v>
      </c>
      <c r="P130" s="5">
        <f t="shared" si="23"/>
        <v>12.45</v>
      </c>
      <c r="Q130" s="5">
        <f t="shared" si="23"/>
        <v>10.68</v>
      </c>
      <c r="R130" s="5">
        <f t="shared" si="23"/>
        <v>8.29</v>
      </c>
      <c r="S130" s="5">
        <f t="shared" si="22"/>
        <v>7.53</v>
      </c>
      <c r="T130" s="5">
        <f t="shared" si="22"/>
        <v>5.87</v>
      </c>
      <c r="U130" s="5">
        <f t="shared" si="22"/>
        <v>4.2</v>
      </c>
      <c r="V130" s="5">
        <f t="shared" si="22"/>
        <v>3.96</v>
      </c>
      <c r="W130" s="5">
        <f t="shared" si="22"/>
        <v>3.22</v>
      </c>
      <c r="X130" s="5">
        <f t="shared" si="22"/>
        <v>2.85</v>
      </c>
      <c r="Y130" s="5">
        <f t="shared" si="22"/>
        <v>2.47</v>
      </c>
      <c r="Z130" s="5">
        <f t="shared" si="22"/>
        <v>2.41</v>
      </c>
      <c r="AA130" s="5">
        <f t="shared" si="22"/>
        <v>2.17</v>
      </c>
      <c r="AB130" s="5">
        <f t="shared" si="22"/>
        <v>1.81</v>
      </c>
      <c r="AC130" s="5">
        <f t="shared" si="22"/>
        <v>1.53</v>
      </c>
      <c r="AD130" s="5">
        <f t="shared" si="22"/>
        <v>1.48</v>
      </c>
      <c r="AE130" s="5">
        <f t="shared" si="22"/>
        <v>1.28</v>
      </c>
      <c r="AF130" s="5">
        <f t="shared" si="22"/>
        <v>1.23</v>
      </c>
      <c r="AG130" s="5">
        <f t="shared" si="22"/>
        <v>1.19</v>
      </c>
      <c r="AH130" s="5">
        <f t="shared" si="17"/>
        <v>1.04</v>
      </c>
      <c r="AI130" s="5">
        <f t="shared" si="17"/>
        <v>0.95</v>
      </c>
      <c r="AJ130" s="5">
        <f t="shared" si="17"/>
        <v>0.91</v>
      </c>
    </row>
    <row r="131" spans="1:36">
      <c r="A131" t="str">
        <f>"primary_archetype_"&amp;TEXT(ROUND(Table213[[#This Row],[2016]],1),"0.0")</f>
        <v>primary_archetype_17.4</v>
      </c>
      <c r="B131" s="5">
        <f t="shared" si="13"/>
        <v>17.4</v>
      </c>
      <c r="C131" s="5">
        <f t="shared" si="23"/>
        <v>17.4</v>
      </c>
      <c r="D131" s="5">
        <f t="shared" si="23"/>
        <v>17.4</v>
      </c>
      <c r="E131" s="5">
        <f t="shared" si="23"/>
        <v>17.08</v>
      </c>
      <c r="F131" s="5">
        <f t="shared" si="23"/>
        <v>16.29</v>
      </c>
      <c r="G131" s="5">
        <f t="shared" si="23"/>
        <v>16.4</v>
      </c>
      <c r="H131" s="5">
        <f t="shared" si="23"/>
        <v>16.06</v>
      </c>
      <c r="I131" s="5">
        <f t="shared" si="23"/>
        <v>15.41</v>
      </c>
      <c r="J131" s="5">
        <f t="shared" si="23"/>
        <v>15.04</v>
      </c>
      <c r="K131" s="5">
        <f t="shared" si="23"/>
        <v>14.66</v>
      </c>
      <c r="L131" s="5">
        <f t="shared" si="23"/>
        <v>14.06</v>
      </c>
      <c r="M131" s="5">
        <f t="shared" si="23"/>
        <v>13.99</v>
      </c>
      <c r="N131" s="5">
        <f t="shared" si="23"/>
        <v>13.5</v>
      </c>
      <c r="O131" s="5">
        <f t="shared" si="23"/>
        <v>12.99</v>
      </c>
      <c r="P131" s="5">
        <f t="shared" si="23"/>
        <v>12.38</v>
      </c>
      <c r="Q131" s="5">
        <f t="shared" si="23"/>
        <v>10.62</v>
      </c>
      <c r="R131" s="5">
        <f t="shared" si="23"/>
        <v>8.25</v>
      </c>
      <c r="S131" s="5">
        <f t="shared" si="22"/>
        <v>7.49</v>
      </c>
      <c r="T131" s="5">
        <f t="shared" si="22"/>
        <v>5.84</v>
      </c>
      <c r="U131" s="5">
        <f t="shared" si="22"/>
        <v>4.18</v>
      </c>
      <c r="V131" s="5">
        <f t="shared" si="22"/>
        <v>3.94</v>
      </c>
      <c r="W131" s="5">
        <f t="shared" si="22"/>
        <v>3.21</v>
      </c>
      <c r="X131" s="5">
        <f t="shared" si="22"/>
        <v>2.84</v>
      </c>
      <c r="Y131" s="5">
        <f t="shared" si="22"/>
        <v>2.46</v>
      </c>
      <c r="Z131" s="5">
        <f t="shared" si="22"/>
        <v>2.4</v>
      </c>
      <c r="AA131" s="5">
        <f t="shared" si="22"/>
        <v>2.16</v>
      </c>
      <c r="AB131" s="5">
        <f t="shared" si="22"/>
        <v>1.81</v>
      </c>
      <c r="AC131" s="5">
        <f t="shared" si="22"/>
        <v>1.52</v>
      </c>
      <c r="AD131" s="5">
        <f t="shared" si="22"/>
        <v>1.48</v>
      </c>
      <c r="AE131" s="5">
        <f t="shared" si="22"/>
        <v>1.28</v>
      </c>
      <c r="AF131" s="5">
        <f t="shared" si="22"/>
        <v>1.23</v>
      </c>
      <c r="AG131" s="5">
        <f t="shared" si="22"/>
        <v>1.19</v>
      </c>
      <c r="AH131" s="5">
        <f t="shared" si="17"/>
        <v>1.04</v>
      </c>
      <c r="AI131" s="5">
        <f t="shared" si="17"/>
        <v>0.95</v>
      </c>
      <c r="AJ131" s="5">
        <f t="shared" si="17"/>
        <v>0.91</v>
      </c>
    </row>
    <row r="132" spans="1:36">
      <c r="A132" t="str">
        <f>"primary_archetype_"&amp;TEXT(ROUND(Table213[[#This Row],[2016]],1),"0.0")</f>
        <v>primary_archetype_17.3</v>
      </c>
      <c r="B132" s="5">
        <f t="shared" si="13"/>
        <v>17.3</v>
      </c>
      <c r="C132" s="5">
        <f t="shared" si="23"/>
        <v>17.3</v>
      </c>
      <c r="D132" s="5">
        <f t="shared" si="23"/>
        <v>17.3</v>
      </c>
      <c r="E132" s="5">
        <f t="shared" si="23"/>
        <v>16.98</v>
      </c>
      <c r="F132" s="5">
        <f t="shared" si="23"/>
        <v>16.2</v>
      </c>
      <c r="G132" s="5">
        <f t="shared" si="23"/>
        <v>16.31</v>
      </c>
      <c r="H132" s="5">
        <f t="shared" si="23"/>
        <v>15.97</v>
      </c>
      <c r="I132" s="5">
        <f t="shared" si="23"/>
        <v>15.32</v>
      </c>
      <c r="J132" s="5">
        <f t="shared" si="23"/>
        <v>14.95</v>
      </c>
      <c r="K132" s="5">
        <f t="shared" si="23"/>
        <v>14.57</v>
      </c>
      <c r="L132" s="5">
        <f t="shared" si="23"/>
        <v>13.98</v>
      </c>
      <c r="M132" s="5">
        <f t="shared" si="23"/>
        <v>13.91</v>
      </c>
      <c r="N132" s="5">
        <f t="shared" si="23"/>
        <v>13.42</v>
      </c>
      <c r="O132" s="5">
        <f t="shared" si="23"/>
        <v>12.91</v>
      </c>
      <c r="P132" s="5">
        <f t="shared" si="23"/>
        <v>12.32</v>
      </c>
      <c r="Q132" s="5">
        <f t="shared" si="23"/>
        <v>10.56</v>
      </c>
      <c r="R132" s="5">
        <f t="shared" si="23"/>
        <v>8.2</v>
      </c>
      <c r="S132" s="5">
        <f t="shared" si="22"/>
        <v>7.45</v>
      </c>
      <c r="T132" s="5">
        <f t="shared" si="22"/>
        <v>5.81</v>
      </c>
      <c r="U132" s="5">
        <f t="shared" si="22"/>
        <v>4.16</v>
      </c>
      <c r="V132" s="5">
        <f t="shared" si="22"/>
        <v>3.92</v>
      </c>
      <c r="W132" s="5">
        <f t="shared" si="22"/>
        <v>3.2</v>
      </c>
      <c r="X132" s="5">
        <f t="shared" si="22"/>
        <v>2.83</v>
      </c>
      <c r="Y132" s="5">
        <f t="shared" si="22"/>
        <v>2.45</v>
      </c>
      <c r="Z132" s="5">
        <f t="shared" si="22"/>
        <v>2.39</v>
      </c>
      <c r="AA132" s="5">
        <f t="shared" si="22"/>
        <v>2.15</v>
      </c>
      <c r="AB132" s="5">
        <f t="shared" si="22"/>
        <v>1.8</v>
      </c>
      <c r="AC132" s="5">
        <f t="shared" si="22"/>
        <v>1.52</v>
      </c>
      <c r="AD132" s="5">
        <f t="shared" si="22"/>
        <v>1.47</v>
      </c>
      <c r="AE132" s="5">
        <f t="shared" si="22"/>
        <v>1.28</v>
      </c>
      <c r="AF132" s="5">
        <f t="shared" si="22"/>
        <v>1.23</v>
      </c>
      <c r="AG132" s="5">
        <f t="shared" si="22"/>
        <v>1.19</v>
      </c>
      <c r="AH132" s="5">
        <f t="shared" si="17"/>
        <v>1.04</v>
      </c>
      <c r="AI132" s="5">
        <f t="shared" si="17"/>
        <v>0.95</v>
      </c>
      <c r="AJ132" s="5">
        <f t="shared" si="17"/>
        <v>0.91</v>
      </c>
    </row>
    <row r="133" spans="1:36">
      <c r="A133" t="str">
        <f>"primary_archetype_"&amp;TEXT(ROUND(Table213[[#This Row],[2016]],1),"0.0")</f>
        <v>primary_archetype_17.2</v>
      </c>
      <c r="B133" s="5">
        <f t="shared" si="13"/>
        <v>17.2</v>
      </c>
      <c r="C133" s="5">
        <f t="shared" si="23"/>
        <v>17.2</v>
      </c>
      <c r="D133" s="5">
        <f t="shared" si="23"/>
        <v>17.2</v>
      </c>
      <c r="E133" s="5">
        <f t="shared" si="23"/>
        <v>16.88</v>
      </c>
      <c r="F133" s="5">
        <f t="shared" si="23"/>
        <v>16.11</v>
      </c>
      <c r="G133" s="5">
        <f t="shared" si="23"/>
        <v>16.21</v>
      </c>
      <c r="H133" s="5">
        <f t="shared" si="23"/>
        <v>15.88</v>
      </c>
      <c r="I133" s="5">
        <f t="shared" si="23"/>
        <v>15.23</v>
      </c>
      <c r="J133" s="5">
        <f t="shared" si="23"/>
        <v>14.87</v>
      </c>
      <c r="K133" s="5">
        <f t="shared" si="23"/>
        <v>14.49</v>
      </c>
      <c r="L133" s="5">
        <f t="shared" si="23"/>
        <v>13.9</v>
      </c>
      <c r="M133" s="5">
        <f t="shared" si="23"/>
        <v>13.83</v>
      </c>
      <c r="N133" s="5">
        <f t="shared" si="23"/>
        <v>13.34</v>
      </c>
      <c r="O133" s="5">
        <f t="shared" si="23"/>
        <v>12.84</v>
      </c>
      <c r="P133" s="5">
        <f t="shared" si="23"/>
        <v>12.25</v>
      </c>
      <c r="Q133" s="5">
        <f t="shared" si="23"/>
        <v>10.51</v>
      </c>
      <c r="R133" s="5">
        <f t="shared" si="23"/>
        <v>8.16</v>
      </c>
      <c r="S133" s="5">
        <f t="shared" si="22"/>
        <v>7.41</v>
      </c>
      <c r="T133" s="5">
        <f t="shared" si="22"/>
        <v>5.78</v>
      </c>
      <c r="U133" s="5">
        <f t="shared" si="22"/>
        <v>4.14</v>
      </c>
      <c r="V133" s="5">
        <f t="shared" si="22"/>
        <v>3.9</v>
      </c>
      <c r="W133" s="5">
        <f t="shared" si="22"/>
        <v>3.18</v>
      </c>
      <c r="X133" s="5">
        <f t="shared" si="22"/>
        <v>2.82</v>
      </c>
      <c r="Y133" s="5">
        <f t="shared" si="22"/>
        <v>2.44</v>
      </c>
      <c r="Z133" s="5">
        <f t="shared" si="22"/>
        <v>2.38</v>
      </c>
      <c r="AA133" s="5">
        <f t="shared" si="22"/>
        <v>2.14</v>
      </c>
      <c r="AB133" s="5">
        <f t="shared" si="22"/>
        <v>1.8</v>
      </c>
      <c r="AC133" s="5">
        <f t="shared" si="22"/>
        <v>1.52</v>
      </c>
      <c r="AD133" s="5">
        <f t="shared" si="22"/>
        <v>1.47</v>
      </c>
      <c r="AE133" s="5">
        <f t="shared" si="22"/>
        <v>1.28</v>
      </c>
      <c r="AF133" s="5">
        <f t="shared" si="22"/>
        <v>1.23</v>
      </c>
      <c r="AG133" s="5">
        <f t="shared" si="22"/>
        <v>1.19</v>
      </c>
      <c r="AH133" s="5">
        <f t="shared" si="17"/>
        <v>1.04</v>
      </c>
      <c r="AI133" s="5">
        <f t="shared" si="17"/>
        <v>0.95</v>
      </c>
      <c r="AJ133" s="5">
        <f t="shared" si="17"/>
        <v>0.91</v>
      </c>
    </row>
    <row r="134" spans="1:36">
      <c r="A134" t="str">
        <f>"primary_archetype_"&amp;TEXT(ROUND(Table213[[#This Row],[2016]],1),"0.0")</f>
        <v>primary_archetype_17.1</v>
      </c>
      <c r="B134" s="5">
        <f t="shared" si="13"/>
        <v>17.1</v>
      </c>
      <c r="C134" s="5">
        <f t="shared" si="23"/>
        <v>17.1</v>
      </c>
      <c r="D134" s="5">
        <f t="shared" si="23"/>
        <v>17.1</v>
      </c>
      <c r="E134" s="5">
        <f t="shared" si="23"/>
        <v>16.78</v>
      </c>
      <c r="F134" s="5">
        <f t="shared" si="23"/>
        <v>16.01</v>
      </c>
      <c r="G134" s="5">
        <f t="shared" si="23"/>
        <v>16.12</v>
      </c>
      <c r="H134" s="5">
        <f t="shared" si="23"/>
        <v>15.79</v>
      </c>
      <c r="I134" s="5">
        <f t="shared" si="23"/>
        <v>15.14</v>
      </c>
      <c r="J134" s="5">
        <f t="shared" si="23"/>
        <v>14.78</v>
      </c>
      <c r="K134" s="5">
        <f t="shared" si="23"/>
        <v>14.41</v>
      </c>
      <c r="L134" s="5">
        <f t="shared" si="23"/>
        <v>13.82</v>
      </c>
      <c r="M134" s="5">
        <f t="shared" si="23"/>
        <v>13.75</v>
      </c>
      <c r="N134" s="5">
        <f t="shared" si="23"/>
        <v>13.27</v>
      </c>
      <c r="O134" s="5">
        <f t="shared" si="23"/>
        <v>12.77</v>
      </c>
      <c r="P134" s="5">
        <f t="shared" si="23"/>
        <v>12.18</v>
      </c>
      <c r="Q134" s="5">
        <f t="shared" si="23"/>
        <v>10.45</v>
      </c>
      <c r="R134" s="5">
        <f t="shared" si="23"/>
        <v>8.11</v>
      </c>
      <c r="S134" s="5">
        <f t="shared" si="22"/>
        <v>7.37</v>
      </c>
      <c r="T134" s="5">
        <f t="shared" si="22"/>
        <v>5.75</v>
      </c>
      <c r="U134" s="5">
        <f t="shared" si="22"/>
        <v>4.12</v>
      </c>
      <c r="V134" s="5">
        <f t="shared" si="22"/>
        <v>3.88</v>
      </c>
      <c r="W134" s="5">
        <f t="shared" si="22"/>
        <v>3.17</v>
      </c>
      <c r="X134" s="5">
        <f t="shared" si="22"/>
        <v>2.81</v>
      </c>
      <c r="Y134" s="5">
        <f t="shared" si="22"/>
        <v>2.43</v>
      </c>
      <c r="Z134" s="5">
        <f t="shared" si="22"/>
        <v>2.37</v>
      </c>
      <c r="AA134" s="5">
        <f t="shared" si="22"/>
        <v>2.14</v>
      </c>
      <c r="AB134" s="5">
        <f t="shared" si="22"/>
        <v>1.79</v>
      </c>
      <c r="AC134" s="5">
        <f t="shared" si="22"/>
        <v>1.51</v>
      </c>
      <c r="AD134" s="5">
        <f t="shared" si="22"/>
        <v>1.47</v>
      </c>
      <c r="AE134" s="5">
        <f t="shared" si="22"/>
        <v>1.28</v>
      </c>
      <c r="AF134" s="5">
        <f t="shared" si="22"/>
        <v>1.22</v>
      </c>
      <c r="AG134" s="5">
        <f t="shared" si="22"/>
        <v>1.19</v>
      </c>
      <c r="AH134" s="5">
        <f t="shared" si="17"/>
        <v>1.04</v>
      </c>
      <c r="AI134" s="5">
        <f t="shared" si="17"/>
        <v>0.95</v>
      </c>
      <c r="AJ134" s="5">
        <f t="shared" si="17"/>
        <v>0.91</v>
      </c>
    </row>
    <row r="135" spans="1:36">
      <c r="A135" t="str">
        <f>"primary_archetype_"&amp;TEXT(ROUND(Table213[[#This Row],[2016]],1),"0.0")</f>
        <v>primary_archetype_17.0</v>
      </c>
      <c r="B135" s="5">
        <f t="shared" ref="B135:B199" si="24">MROUND(B134-0.1,0.1)</f>
        <v>17</v>
      </c>
      <c r="C135" s="5">
        <f t="shared" si="23"/>
        <v>17</v>
      </c>
      <c r="D135" s="5">
        <f t="shared" si="23"/>
        <v>17</v>
      </c>
      <c r="E135" s="5">
        <f t="shared" si="23"/>
        <v>16.68</v>
      </c>
      <c r="F135" s="5">
        <f t="shared" si="23"/>
        <v>15.92</v>
      </c>
      <c r="G135" s="5">
        <f t="shared" si="23"/>
        <v>16.03</v>
      </c>
      <c r="H135" s="5">
        <f t="shared" si="23"/>
        <v>15.7</v>
      </c>
      <c r="I135" s="5">
        <f t="shared" si="23"/>
        <v>15.05</v>
      </c>
      <c r="J135" s="5">
        <f t="shared" si="23"/>
        <v>14.69</v>
      </c>
      <c r="K135" s="5">
        <f t="shared" si="23"/>
        <v>14.32</v>
      </c>
      <c r="L135" s="5">
        <f t="shared" si="23"/>
        <v>13.74</v>
      </c>
      <c r="M135" s="5">
        <f t="shared" si="23"/>
        <v>13.67</v>
      </c>
      <c r="N135" s="5">
        <f t="shared" si="23"/>
        <v>13.19</v>
      </c>
      <c r="O135" s="5">
        <f t="shared" si="23"/>
        <v>12.69</v>
      </c>
      <c r="P135" s="5">
        <f t="shared" si="23"/>
        <v>12.11</v>
      </c>
      <c r="Q135" s="5">
        <f t="shared" si="23"/>
        <v>10.39</v>
      </c>
      <c r="R135" s="5">
        <f t="shared" si="23"/>
        <v>8.07</v>
      </c>
      <c r="S135" s="5">
        <f t="shared" si="22"/>
        <v>7.33</v>
      </c>
      <c r="T135" s="5">
        <f t="shared" si="22"/>
        <v>5.72</v>
      </c>
      <c r="U135" s="5">
        <f t="shared" si="22"/>
        <v>4.1</v>
      </c>
      <c r="V135" s="5">
        <f t="shared" si="22"/>
        <v>3.87</v>
      </c>
      <c r="W135" s="5">
        <f t="shared" si="22"/>
        <v>3.16</v>
      </c>
      <c r="X135" s="5">
        <f t="shared" si="22"/>
        <v>2.8</v>
      </c>
      <c r="Y135" s="5">
        <f t="shared" si="22"/>
        <v>2.42</v>
      </c>
      <c r="Z135" s="5">
        <f t="shared" si="22"/>
        <v>2.36</v>
      </c>
      <c r="AA135" s="5">
        <f t="shared" si="22"/>
        <v>2.13</v>
      </c>
      <c r="AB135" s="5">
        <f t="shared" si="22"/>
        <v>1.79</v>
      </c>
      <c r="AC135" s="5">
        <f t="shared" si="22"/>
        <v>1.51</v>
      </c>
      <c r="AD135" s="5">
        <f t="shared" si="22"/>
        <v>1.46</v>
      </c>
      <c r="AE135" s="5">
        <f t="shared" si="22"/>
        <v>1.28</v>
      </c>
      <c r="AF135" s="5">
        <f t="shared" si="22"/>
        <v>1.22</v>
      </c>
      <c r="AG135" s="5">
        <f t="shared" si="22"/>
        <v>1.18</v>
      </c>
      <c r="AH135" s="5">
        <f t="shared" si="17"/>
        <v>1.04</v>
      </c>
      <c r="AI135" s="5">
        <f t="shared" si="17"/>
        <v>0.95</v>
      </c>
      <c r="AJ135" s="5">
        <f t="shared" si="17"/>
        <v>0.91</v>
      </c>
    </row>
    <row r="136" spans="1:36">
      <c r="A136" t="str">
        <f>"primary_archetype_"&amp;TEXT(ROUND(Table213[[#This Row],[2016]],1),"0.0")</f>
        <v>primary_archetype_16.9</v>
      </c>
      <c r="B136" s="5">
        <f t="shared" si="24"/>
        <v>16.9</v>
      </c>
      <c r="C136" s="5">
        <f t="shared" si="23"/>
        <v>16.9</v>
      </c>
      <c r="D136" s="5">
        <f t="shared" si="23"/>
        <v>16.9</v>
      </c>
      <c r="E136" s="5">
        <f t="shared" si="23"/>
        <v>16.59</v>
      </c>
      <c r="F136" s="5">
        <f t="shared" si="23"/>
        <v>15.83</v>
      </c>
      <c r="G136" s="5">
        <f t="shared" si="23"/>
        <v>15.93</v>
      </c>
      <c r="H136" s="5">
        <f t="shared" si="23"/>
        <v>15.6</v>
      </c>
      <c r="I136" s="5">
        <f t="shared" si="23"/>
        <v>14.97</v>
      </c>
      <c r="J136" s="5">
        <f t="shared" si="23"/>
        <v>14.61</v>
      </c>
      <c r="K136" s="5">
        <f t="shared" si="23"/>
        <v>14.24</v>
      </c>
      <c r="L136" s="5">
        <f t="shared" si="23"/>
        <v>13.66</v>
      </c>
      <c r="M136" s="5">
        <f t="shared" si="23"/>
        <v>13.59</v>
      </c>
      <c r="N136" s="5">
        <f t="shared" si="23"/>
        <v>13.11</v>
      </c>
      <c r="O136" s="5">
        <f t="shared" si="23"/>
        <v>12.62</v>
      </c>
      <c r="P136" s="5">
        <f t="shared" si="23"/>
        <v>12.04</v>
      </c>
      <c r="Q136" s="5">
        <f t="shared" si="23"/>
        <v>10.33</v>
      </c>
      <c r="R136" s="5">
        <f t="shared" si="23"/>
        <v>8.03</v>
      </c>
      <c r="S136" s="5">
        <f t="shared" si="22"/>
        <v>7.29</v>
      </c>
      <c r="T136" s="5">
        <f t="shared" si="22"/>
        <v>5.69</v>
      </c>
      <c r="U136" s="5">
        <f t="shared" si="22"/>
        <v>4.08</v>
      </c>
      <c r="V136" s="5">
        <f t="shared" si="22"/>
        <v>3.85</v>
      </c>
      <c r="W136" s="5">
        <f t="shared" si="22"/>
        <v>3.14</v>
      </c>
      <c r="X136" s="5">
        <f t="shared" si="22"/>
        <v>2.79</v>
      </c>
      <c r="Y136" s="5">
        <f t="shared" si="22"/>
        <v>2.41</v>
      </c>
      <c r="Z136" s="5">
        <f t="shared" si="22"/>
        <v>2.36</v>
      </c>
      <c r="AA136" s="5">
        <f t="shared" si="22"/>
        <v>2.12</v>
      </c>
      <c r="AB136" s="5">
        <f t="shared" si="22"/>
        <v>1.79</v>
      </c>
      <c r="AC136" s="5">
        <f t="shared" si="22"/>
        <v>1.51</v>
      </c>
      <c r="AD136" s="5">
        <f t="shared" si="22"/>
        <v>1.46</v>
      </c>
      <c r="AE136" s="5">
        <f t="shared" si="22"/>
        <v>1.27</v>
      </c>
      <c r="AF136" s="5">
        <f t="shared" si="22"/>
        <v>1.22</v>
      </c>
      <c r="AG136" s="5">
        <f t="shared" si="22"/>
        <v>1.18</v>
      </c>
      <c r="AH136" s="5">
        <f t="shared" si="17"/>
        <v>1.04</v>
      </c>
      <c r="AI136" s="5">
        <f t="shared" si="17"/>
        <v>0.95</v>
      </c>
      <c r="AJ136" s="5">
        <f t="shared" si="17"/>
        <v>0.91</v>
      </c>
    </row>
    <row r="137" spans="1:36">
      <c r="A137" t="str">
        <f>"primary_archetype_"&amp;TEXT(ROUND(Table213[[#This Row],[2016]],1),"0.0")</f>
        <v>primary_archetype_16.8</v>
      </c>
      <c r="B137" s="5">
        <f t="shared" si="24"/>
        <v>16.8</v>
      </c>
      <c r="C137" s="5">
        <f t="shared" si="23"/>
        <v>16.8</v>
      </c>
      <c r="D137" s="5">
        <f t="shared" si="23"/>
        <v>16.8</v>
      </c>
      <c r="E137" s="5">
        <f t="shared" si="23"/>
        <v>16.49</v>
      </c>
      <c r="F137" s="5">
        <f t="shared" si="23"/>
        <v>15.73</v>
      </c>
      <c r="G137" s="5">
        <f t="shared" si="23"/>
        <v>15.84</v>
      </c>
      <c r="H137" s="5">
        <f t="shared" si="23"/>
        <v>15.51</v>
      </c>
      <c r="I137" s="5">
        <f t="shared" si="23"/>
        <v>14.88</v>
      </c>
      <c r="J137" s="5">
        <f t="shared" si="23"/>
        <v>14.52</v>
      </c>
      <c r="K137" s="5">
        <f t="shared" si="23"/>
        <v>14.16</v>
      </c>
      <c r="L137" s="5">
        <f t="shared" si="23"/>
        <v>13.58</v>
      </c>
      <c r="M137" s="5">
        <f t="shared" si="23"/>
        <v>13.51</v>
      </c>
      <c r="N137" s="5">
        <f t="shared" si="23"/>
        <v>13.04</v>
      </c>
      <c r="O137" s="5">
        <f t="shared" si="23"/>
        <v>12.55</v>
      </c>
      <c r="P137" s="5">
        <f t="shared" si="23"/>
        <v>11.97</v>
      </c>
      <c r="Q137" s="5">
        <f t="shared" si="23"/>
        <v>10.27</v>
      </c>
      <c r="R137" s="5">
        <f t="shared" si="23"/>
        <v>7.98</v>
      </c>
      <c r="S137" s="5">
        <f t="shared" si="22"/>
        <v>7.25</v>
      </c>
      <c r="T137" s="5">
        <f t="shared" si="22"/>
        <v>5.66</v>
      </c>
      <c r="U137" s="5">
        <f t="shared" si="22"/>
        <v>4.06</v>
      </c>
      <c r="V137" s="5">
        <f t="shared" si="22"/>
        <v>3.83</v>
      </c>
      <c r="W137" s="5">
        <f t="shared" si="22"/>
        <v>3.13</v>
      </c>
      <c r="X137" s="5">
        <f t="shared" si="22"/>
        <v>2.78</v>
      </c>
      <c r="Y137" s="5">
        <f t="shared" si="22"/>
        <v>2.41</v>
      </c>
      <c r="Z137" s="5">
        <f t="shared" si="22"/>
        <v>2.35</v>
      </c>
      <c r="AA137" s="5">
        <f t="shared" si="22"/>
        <v>2.12</v>
      </c>
      <c r="AB137" s="5">
        <f t="shared" si="22"/>
        <v>1.78</v>
      </c>
      <c r="AC137" s="5">
        <f t="shared" si="22"/>
        <v>1.5</v>
      </c>
      <c r="AD137" s="5">
        <f t="shared" si="22"/>
        <v>1.46</v>
      </c>
      <c r="AE137" s="5">
        <f t="shared" si="22"/>
        <v>1.27</v>
      </c>
      <c r="AF137" s="5">
        <f t="shared" si="22"/>
        <v>1.22</v>
      </c>
      <c r="AG137" s="5">
        <f t="shared" si="22"/>
        <v>1.18</v>
      </c>
      <c r="AH137" s="5">
        <f t="shared" si="17"/>
        <v>1.04</v>
      </c>
      <c r="AI137" s="5">
        <f t="shared" si="17"/>
        <v>0.95</v>
      </c>
      <c r="AJ137" s="5">
        <f t="shared" si="17"/>
        <v>0.92</v>
      </c>
    </row>
    <row r="138" spans="1:36">
      <c r="A138" t="str">
        <f>"primary_archetype_"&amp;TEXT(ROUND(Table213[[#This Row],[2016]],1),"0.0")</f>
        <v>primary_archetype_16.7</v>
      </c>
      <c r="B138" s="5">
        <f t="shared" si="24"/>
        <v>16.7</v>
      </c>
      <c r="C138" s="5">
        <f t="shared" si="23"/>
        <v>16.7</v>
      </c>
      <c r="D138" s="5">
        <f t="shared" si="23"/>
        <v>16.7</v>
      </c>
      <c r="E138" s="5">
        <f t="shared" si="23"/>
        <v>16.39</v>
      </c>
      <c r="F138" s="5">
        <f t="shared" si="23"/>
        <v>15.64</v>
      </c>
      <c r="G138" s="5">
        <f t="shared" si="23"/>
        <v>15.75</v>
      </c>
      <c r="H138" s="5">
        <f t="shared" si="23"/>
        <v>15.42</v>
      </c>
      <c r="I138" s="5">
        <f t="shared" si="23"/>
        <v>14.79</v>
      </c>
      <c r="J138" s="5">
        <f t="shared" si="23"/>
        <v>14.44</v>
      </c>
      <c r="K138" s="5">
        <f t="shared" si="23"/>
        <v>14.07</v>
      </c>
      <c r="L138" s="5">
        <f t="shared" si="23"/>
        <v>13.5</v>
      </c>
      <c r="M138" s="5">
        <f t="shared" si="23"/>
        <v>13.43</v>
      </c>
      <c r="N138" s="5">
        <f t="shared" si="23"/>
        <v>12.96</v>
      </c>
      <c r="O138" s="5">
        <f t="shared" si="23"/>
        <v>12.48</v>
      </c>
      <c r="P138" s="5">
        <f t="shared" si="23"/>
        <v>11.9</v>
      </c>
      <c r="Q138" s="5">
        <f t="shared" si="23"/>
        <v>10.21</v>
      </c>
      <c r="R138" s="5">
        <f t="shared" si="23"/>
        <v>7.94</v>
      </c>
      <c r="S138" s="5">
        <f t="shared" si="22"/>
        <v>7.21</v>
      </c>
      <c r="T138" s="5">
        <f t="shared" si="22"/>
        <v>5.63</v>
      </c>
      <c r="U138" s="5">
        <f t="shared" si="22"/>
        <v>4.04</v>
      </c>
      <c r="V138" s="5">
        <f t="shared" si="22"/>
        <v>3.81</v>
      </c>
      <c r="W138" s="5">
        <f t="shared" si="22"/>
        <v>3.12</v>
      </c>
      <c r="X138" s="5">
        <f t="shared" si="22"/>
        <v>2.76</v>
      </c>
      <c r="Y138" s="5">
        <f t="shared" si="22"/>
        <v>2.4</v>
      </c>
      <c r="Z138" s="5">
        <f t="shared" si="22"/>
        <v>2.34</v>
      </c>
      <c r="AA138" s="5">
        <f t="shared" si="22"/>
        <v>2.11</v>
      </c>
      <c r="AB138" s="5">
        <f t="shared" si="22"/>
        <v>1.78</v>
      </c>
      <c r="AC138" s="5">
        <f t="shared" si="22"/>
        <v>1.5</v>
      </c>
      <c r="AD138" s="5">
        <f t="shared" si="22"/>
        <v>1.46</v>
      </c>
      <c r="AE138" s="5">
        <f t="shared" si="22"/>
        <v>1.27</v>
      </c>
      <c r="AF138" s="5">
        <f t="shared" si="22"/>
        <v>1.22</v>
      </c>
      <c r="AG138" s="5">
        <f t="shared" si="22"/>
        <v>1.18</v>
      </c>
      <c r="AH138" s="5">
        <f t="shared" si="17"/>
        <v>1.04</v>
      </c>
      <c r="AI138" s="5">
        <f t="shared" si="17"/>
        <v>0.95</v>
      </c>
      <c r="AJ138" s="5">
        <f t="shared" si="17"/>
        <v>0.92</v>
      </c>
    </row>
    <row r="139" spans="1:36">
      <c r="A139" t="str">
        <f>"primary_archetype_"&amp;TEXT(ROUND(Table213[[#This Row],[2016]],1),"0.0")</f>
        <v>primary_archetype_16.6</v>
      </c>
      <c r="B139" s="5">
        <f t="shared" si="24"/>
        <v>16.6</v>
      </c>
      <c r="C139" s="5">
        <f t="shared" si="23"/>
        <v>16.6</v>
      </c>
      <c r="D139" s="5">
        <f t="shared" si="23"/>
        <v>16.6</v>
      </c>
      <c r="E139" s="5">
        <f t="shared" si="23"/>
        <v>16.29</v>
      </c>
      <c r="F139" s="5">
        <f t="shared" si="23"/>
        <v>15.55</v>
      </c>
      <c r="G139" s="5">
        <f t="shared" si="23"/>
        <v>15.65</v>
      </c>
      <c r="H139" s="5">
        <f t="shared" si="23"/>
        <v>15.33</v>
      </c>
      <c r="I139" s="5">
        <f t="shared" si="23"/>
        <v>14.7</v>
      </c>
      <c r="J139" s="5">
        <f t="shared" si="23"/>
        <v>14.35</v>
      </c>
      <c r="K139" s="5">
        <f t="shared" si="23"/>
        <v>13.99</v>
      </c>
      <c r="L139" s="5">
        <f t="shared" si="23"/>
        <v>13.42</v>
      </c>
      <c r="M139" s="5">
        <f t="shared" si="23"/>
        <v>13.35</v>
      </c>
      <c r="N139" s="5">
        <f t="shared" si="23"/>
        <v>12.89</v>
      </c>
      <c r="O139" s="5">
        <f t="shared" si="23"/>
        <v>12.4</v>
      </c>
      <c r="P139" s="5">
        <f t="shared" si="23"/>
        <v>11.83</v>
      </c>
      <c r="Q139" s="5">
        <f t="shared" si="23"/>
        <v>10.15</v>
      </c>
      <c r="R139" s="5">
        <f t="shared" si="23"/>
        <v>7.89</v>
      </c>
      <c r="S139" s="5">
        <f t="shared" si="22"/>
        <v>7.17</v>
      </c>
      <c r="T139" s="5">
        <f t="shared" si="22"/>
        <v>5.6</v>
      </c>
      <c r="U139" s="5">
        <f t="shared" si="22"/>
        <v>4.03</v>
      </c>
      <c r="V139" s="5">
        <f t="shared" si="22"/>
        <v>3.8</v>
      </c>
      <c r="W139" s="5">
        <f t="shared" si="22"/>
        <v>3.1</v>
      </c>
      <c r="X139" s="5">
        <f t="shared" si="22"/>
        <v>2.75</v>
      </c>
      <c r="Y139" s="5">
        <f t="shared" si="22"/>
        <v>2.39</v>
      </c>
      <c r="Z139" s="5">
        <f t="shared" si="22"/>
        <v>2.33</v>
      </c>
      <c r="AA139" s="5">
        <f t="shared" si="22"/>
        <v>2.1</v>
      </c>
      <c r="AB139" s="5">
        <f t="shared" si="22"/>
        <v>1.77</v>
      </c>
      <c r="AC139" s="5">
        <f t="shared" si="22"/>
        <v>1.5</v>
      </c>
      <c r="AD139" s="5">
        <f t="shared" si="22"/>
        <v>1.45</v>
      </c>
      <c r="AE139" s="5">
        <f t="shared" si="22"/>
        <v>1.27</v>
      </c>
      <c r="AF139" s="5">
        <f t="shared" si="22"/>
        <v>1.22</v>
      </c>
      <c r="AG139" s="5">
        <f t="shared" si="22"/>
        <v>1.18</v>
      </c>
      <c r="AH139" s="5">
        <f t="shared" si="17"/>
        <v>1.04</v>
      </c>
      <c r="AI139" s="5">
        <f t="shared" si="17"/>
        <v>0.96</v>
      </c>
      <c r="AJ139" s="5">
        <f t="shared" si="17"/>
        <v>0.92</v>
      </c>
    </row>
    <row r="140" spans="1:36">
      <c r="A140" t="str">
        <f>"primary_archetype_"&amp;TEXT(ROUND(Table213[[#This Row],[2016]],1),"0.0")</f>
        <v>primary_archetype_16.5</v>
      </c>
      <c r="B140" s="5">
        <f t="shared" si="24"/>
        <v>16.5</v>
      </c>
      <c r="C140" s="5">
        <f t="shared" si="23"/>
        <v>16.5</v>
      </c>
      <c r="D140" s="5">
        <f t="shared" si="23"/>
        <v>16.5</v>
      </c>
      <c r="E140" s="5">
        <f t="shared" si="23"/>
        <v>16.19</v>
      </c>
      <c r="F140" s="5">
        <f t="shared" si="23"/>
        <v>15.45</v>
      </c>
      <c r="G140" s="5">
        <f t="shared" si="23"/>
        <v>15.56</v>
      </c>
      <c r="H140" s="5">
        <f t="shared" si="23"/>
        <v>15.24</v>
      </c>
      <c r="I140" s="5">
        <f t="shared" si="23"/>
        <v>14.62</v>
      </c>
      <c r="J140" s="5">
        <f t="shared" si="23"/>
        <v>14.27</v>
      </c>
      <c r="K140" s="5">
        <f t="shared" si="23"/>
        <v>13.91</v>
      </c>
      <c r="L140" s="5">
        <f t="shared" si="23"/>
        <v>13.34</v>
      </c>
      <c r="M140" s="5">
        <f t="shared" si="23"/>
        <v>13.27</v>
      </c>
      <c r="N140" s="5">
        <f t="shared" si="23"/>
        <v>12.81</v>
      </c>
      <c r="O140" s="5">
        <f t="shared" si="23"/>
        <v>12.33</v>
      </c>
      <c r="P140" s="5">
        <f t="shared" si="23"/>
        <v>11.76</v>
      </c>
      <c r="Q140" s="5">
        <f t="shared" si="23"/>
        <v>10.1</v>
      </c>
      <c r="R140" s="5">
        <f t="shared" ref="R140:AG155" si="25">MROUND((($B140-$AH$2)*((R$2-$AH$2)/($B$2-$AH$2)))+$AH$2,0.01)</f>
        <v>7.85</v>
      </c>
      <c r="S140" s="5">
        <f t="shared" si="25"/>
        <v>7.13</v>
      </c>
      <c r="T140" s="5">
        <f t="shared" si="25"/>
        <v>5.58</v>
      </c>
      <c r="U140" s="5">
        <f t="shared" si="25"/>
        <v>4.01</v>
      </c>
      <c r="V140" s="5">
        <f t="shared" si="25"/>
        <v>3.78</v>
      </c>
      <c r="W140" s="5">
        <f t="shared" si="25"/>
        <v>3.09</v>
      </c>
      <c r="X140" s="5">
        <f t="shared" si="25"/>
        <v>2.74</v>
      </c>
      <c r="Y140" s="5">
        <f t="shared" si="25"/>
        <v>2.38</v>
      </c>
      <c r="Z140" s="5">
        <f t="shared" si="25"/>
        <v>2.32</v>
      </c>
      <c r="AA140" s="5">
        <f t="shared" si="25"/>
        <v>2.1</v>
      </c>
      <c r="AB140" s="5">
        <f t="shared" si="25"/>
        <v>1.77</v>
      </c>
      <c r="AC140" s="5">
        <f t="shared" si="25"/>
        <v>1.5</v>
      </c>
      <c r="AD140" s="5">
        <f t="shared" si="25"/>
        <v>1.45</v>
      </c>
      <c r="AE140" s="5">
        <f t="shared" si="25"/>
        <v>1.27</v>
      </c>
      <c r="AF140" s="5">
        <f t="shared" si="25"/>
        <v>1.22</v>
      </c>
      <c r="AG140" s="5">
        <f t="shared" si="25"/>
        <v>1.18</v>
      </c>
      <c r="AH140" s="5">
        <f t="shared" si="17"/>
        <v>1.04</v>
      </c>
      <c r="AI140" s="5">
        <f t="shared" si="17"/>
        <v>0.96</v>
      </c>
      <c r="AJ140" s="5">
        <f t="shared" si="17"/>
        <v>0.92</v>
      </c>
    </row>
    <row r="141" spans="1:36">
      <c r="A141" t="str">
        <f>"primary_archetype_"&amp;TEXT(ROUND(Table213[[#This Row],[2016]],1),"0.0")</f>
        <v>primary_archetype_16.4</v>
      </c>
      <c r="B141" s="5">
        <f t="shared" si="24"/>
        <v>16.4</v>
      </c>
      <c r="C141" s="5">
        <f t="shared" ref="C141:R156" si="26">MROUND((($B141-$AH$2)*((C$2-$AH$2)/($B$2-$AH$2)))+$AH$2,0.01)</f>
        <v>16.4</v>
      </c>
      <c r="D141" s="5">
        <f t="shared" si="26"/>
        <v>16.4</v>
      </c>
      <c r="E141" s="5">
        <f t="shared" si="26"/>
        <v>16.1</v>
      </c>
      <c r="F141" s="5">
        <f t="shared" si="26"/>
        <v>15.36</v>
      </c>
      <c r="G141" s="5">
        <f t="shared" si="26"/>
        <v>15.46</v>
      </c>
      <c r="H141" s="5">
        <f t="shared" si="26"/>
        <v>15.14</v>
      </c>
      <c r="I141" s="5">
        <f t="shared" si="26"/>
        <v>14.53</v>
      </c>
      <c r="J141" s="5">
        <f t="shared" si="26"/>
        <v>14.18</v>
      </c>
      <c r="K141" s="5">
        <f t="shared" si="26"/>
        <v>13.82</v>
      </c>
      <c r="L141" s="5">
        <f t="shared" si="26"/>
        <v>13.26</v>
      </c>
      <c r="M141" s="5">
        <f t="shared" si="26"/>
        <v>13.19</v>
      </c>
      <c r="N141" s="5">
        <f t="shared" si="26"/>
        <v>12.73</v>
      </c>
      <c r="O141" s="5">
        <f t="shared" si="26"/>
        <v>12.26</v>
      </c>
      <c r="P141" s="5">
        <f t="shared" si="26"/>
        <v>11.69</v>
      </c>
      <c r="Q141" s="5">
        <f t="shared" si="26"/>
        <v>10.04</v>
      </c>
      <c r="R141" s="5">
        <f t="shared" si="26"/>
        <v>7.81</v>
      </c>
      <c r="S141" s="5">
        <f t="shared" si="25"/>
        <v>7.09</v>
      </c>
      <c r="T141" s="5">
        <f t="shared" si="25"/>
        <v>5.55</v>
      </c>
      <c r="U141" s="5">
        <f t="shared" si="25"/>
        <v>3.99</v>
      </c>
      <c r="V141" s="5">
        <f t="shared" si="25"/>
        <v>3.76</v>
      </c>
      <c r="W141" s="5">
        <f t="shared" si="25"/>
        <v>3.08</v>
      </c>
      <c r="X141" s="5">
        <f t="shared" si="25"/>
        <v>2.73</v>
      </c>
      <c r="Y141" s="5">
        <f t="shared" si="25"/>
        <v>2.37</v>
      </c>
      <c r="Z141" s="5">
        <f t="shared" si="25"/>
        <v>2.31</v>
      </c>
      <c r="AA141" s="5">
        <f t="shared" si="25"/>
        <v>2.09</v>
      </c>
      <c r="AB141" s="5">
        <f t="shared" si="25"/>
        <v>1.76</v>
      </c>
      <c r="AC141" s="5">
        <f t="shared" si="25"/>
        <v>1.49</v>
      </c>
      <c r="AD141" s="5">
        <f t="shared" si="25"/>
        <v>1.45</v>
      </c>
      <c r="AE141" s="5">
        <f t="shared" si="25"/>
        <v>1.27</v>
      </c>
      <c r="AF141" s="5">
        <f t="shared" si="25"/>
        <v>1.22</v>
      </c>
      <c r="AG141" s="5">
        <f t="shared" si="25"/>
        <v>1.18</v>
      </c>
      <c r="AH141" s="5">
        <f t="shared" si="17"/>
        <v>1.04</v>
      </c>
      <c r="AI141" s="5">
        <f t="shared" si="17"/>
        <v>0.96</v>
      </c>
      <c r="AJ141" s="5">
        <f t="shared" si="17"/>
        <v>0.92</v>
      </c>
    </row>
    <row r="142" spans="1:36">
      <c r="A142" t="str">
        <f>"primary_archetype_"&amp;TEXT(ROUND(Table213[[#This Row],[2016]],1),"0.0")</f>
        <v>primary_archetype_16.3</v>
      </c>
      <c r="B142" s="5">
        <f t="shared" si="24"/>
        <v>16.3</v>
      </c>
      <c r="C142" s="5">
        <f t="shared" si="26"/>
        <v>16.3</v>
      </c>
      <c r="D142" s="5">
        <f t="shared" si="26"/>
        <v>16.3</v>
      </c>
      <c r="E142" s="5">
        <f t="shared" si="26"/>
        <v>16</v>
      </c>
      <c r="F142" s="5">
        <f t="shared" si="26"/>
        <v>15.27</v>
      </c>
      <c r="G142" s="5">
        <f t="shared" si="26"/>
        <v>15.37</v>
      </c>
      <c r="H142" s="5">
        <f t="shared" si="26"/>
        <v>15.05</v>
      </c>
      <c r="I142" s="5">
        <f t="shared" si="26"/>
        <v>14.44</v>
      </c>
      <c r="J142" s="5">
        <f t="shared" si="26"/>
        <v>14.1</v>
      </c>
      <c r="K142" s="5">
        <f t="shared" si="26"/>
        <v>13.74</v>
      </c>
      <c r="L142" s="5">
        <f t="shared" si="26"/>
        <v>13.18</v>
      </c>
      <c r="M142" s="5">
        <f t="shared" si="26"/>
        <v>13.12</v>
      </c>
      <c r="N142" s="5">
        <f t="shared" si="26"/>
        <v>12.66</v>
      </c>
      <c r="O142" s="5">
        <f t="shared" si="26"/>
        <v>12.18</v>
      </c>
      <c r="P142" s="5">
        <f t="shared" si="26"/>
        <v>11.62</v>
      </c>
      <c r="Q142" s="5">
        <f t="shared" si="26"/>
        <v>9.98</v>
      </c>
      <c r="R142" s="5">
        <f t="shared" si="26"/>
        <v>7.76</v>
      </c>
      <c r="S142" s="5">
        <f t="shared" si="25"/>
        <v>7.05</v>
      </c>
      <c r="T142" s="5">
        <f t="shared" si="25"/>
        <v>5.52</v>
      </c>
      <c r="U142" s="5">
        <f t="shared" si="25"/>
        <v>3.97</v>
      </c>
      <c r="V142" s="5">
        <f t="shared" si="25"/>
        <v>3.74</v>
      </c>
      <c r="W142" s="5">
        <f t="shared" si="25"/>
        <v>3.06</v>
      </c>
      <c r="X142" s="5">
        <f t="shared" si="25"/>
        <v>2.72</v>
      </c>
      <c r="Y142" s="5">
        <f t="shared" si="25"/>
        <v>2.36</v>
      </c>
      <c r="Z142" s="5">
        <f t="shared" si="25"/>
        <v>2.31</v>
      </c>
      <c r="AA142" s="5">
        <f t="shared" si="25"/>
        <v>2.08</v>
      </c>
      <c r="AB142" s="5">
        <f t="shared" si="25"/>
        <v>1.76</v>
      </c>
      <c r="AC142" s="5">
        <f t="shared" si="25"/>
        <v>1.49</v>
      </c>
      <c r="AD142" s="5">
        <f t="shared" si="25"/>
        <v>1.45</v>
      </c>
      <c r="AE142" s="5">
        <f t="shared" si="25"/>
        <v>1.27</v>
      </c>
      <c r="AF142" s="5">
        <f t="shared" si="25"/>
        <v>1.22</v>
      </c>
      <c r="AG142" s="5">
        <f t="shared" si="25"/>
        <v>1.18</v>
      </c>
      <c r="AH142" s="5">
        <f t="shared" si="17"/>
        <v>1.04</v>
      </c>
      <c r="AI142" s="5">
        <f t="shared" si="17"/>
        <v>0.96</v>
      </c>
      <c r="AJ142" s="5">
        <f t="shared" si="17"/>
        <v>0.92</v>
      </c>
    </row>
    <row r="143" spans="1:36">
      <c r="A143" t="str">
        <f>"primary_archetype_"&amp;TEXT(ROUND(Table213[[#This Row],[2016]],1),"0.0")</f>
        <v>primary_archetype_16.2</v>
      </c>
      <c r="B143" s="5">
        <f t="shared" si="24"/>
        <v>16.2</v>
      </c>
      <c r="C143" s="5">
        <f t="shared" si="26"/>
        <v>16.2</v>
      </c>
      <c r="D143" s="5">
        <f t="shared" si="26"/>
        <v>16.2</v>
      </c>
      <c r="E143" s="5">
        <f t="shared" si="26"/>
        <v>15.9</v>
      </c>
      <c r="F143" s="5">
        <f t="shared" si="26"/>
        <v>15.17</v>
      </c>
      <c r="G143" s="5">
        <f t="shared" si="26"/>
        <v>15.28</v>
      </c>
      <c r="H143" s="5">
        <f t="shared" si="26"/>
        <v>14.96</v>
      </c>
      <c r="I143" s="5">
        <f t="shared" si="26"/>
        <v>14.35</v>
      </c>
      <c r="J143" s="5">
        <f t="shared" si="26"/>
        <v>14.01</v>
      </c>
      <c r="K143" s="5">
        <f t="shared" si="26"/>
        <v>13.66</v>
      </c>
      <c r="L143" s="5">
        <f t="shared" si="26"/>
        <v>13.1</v>
      </c>
      <c r="M143" s="5">
        <f t="shared" si="26"/>
        <v>13.04</v>
      </c>
      <c r="N143" s="5">
        <f t="shared" si="26"/>
        <v>12.58</v>
      </c>
      <c r="O143" s="5">
        <f t="shared" si="26"/>
        <v>12.11</v>
      </c>
      <c r="P143" s="5">
        <f t="shared" si="26"/>
        <v>11.55</v>
      </c>
      <c r="Q143" s="5">
        <f t="shared" si="26"/>
        <v>9.92</v>
      </c>
      <c r="R143" s="5">
        <f t="shared" si="26"/>
        <v>7.72</v>
      </c>
      <c r="S143" s="5">
        <f t="shared" si="25"/>
        <v>7.01</v>
      </c>
      <c r="T143" s="5">
        <f t="shared" si="25"/>
        <v>5.49</v>
      </c>
      <c r="U143" s="5">
        <f t="shared" si="25"/>
        <v>3.95</v>
      </c>
      <c r="V143" s="5">
        <f t="shared" si="25"/>
        <v>3.73</v>
      </c>
      <c r="W143" s="5">
        <f t="shared" si="25"/>
        <v>3.05</v>
      </c>
      <c r="X143" s="5">
        <f t="shared" si="25"/>
        <v>2.71</v>
      </c>
      <c r="Y143" s="5">
        <f t="shared" si="25"/>
        <v>2.35</v>
      </c>
      <c r="Z143" s="5">
        <f t="shared" si="25"/>
        <v>2.3</v>
      </c>
      <c r="AA143" s="5">
        <f t="shared" si="25"/>
        <v>2.08</v>
      </c>
      <c r="AB143" s="5">
        <f t="shared" si="25"/>
        <v>1.75</v>
      </c>
      <c r="AC143" s="5">
        <f t="shared" si="25"/>
        <v>1.49</v>
      </c>
      <c r="AD143" s="5">
        <f t="shared" si="25"/>
        <v>1.44</v>
      </c>
      <c r="AE143" s="5">
        <f t="shared" si="25"/>
        <v>1.26</v>
      </c>
      <c r="AF143" s="5">
        <f t="shared" si="25"/>
        <v>1.21</v>
      </c>
      <c r="AG143" s="5">
        <f t="shared" si="25"/>
        <v>1.18</v>
      </c>
      <c r="AH143" s="5">
        <f t="shared" si="17"/>
        <v>1.04</v>
      </c>
      <c r="AI143" s="5">
        <f t="shared" si="17"/>
        <v>0.96</v>
      </c>
      <c r="AJ143" s="5">
        <f t="shared" si="17"/>
        <v>0.92</v>
      </c>
    </row>
    <row r="144" spans="1:36">
      <c r="A144" t="str">
        <f>"primary_archetype_"&amp;TEXT(ROUND(Table213[[#This Row],[2016]],1),"0.0")</f>
        <v>primary_archetype_16.1</v>
      </c>
      <c r="B144" s="5">
        <f t="shared" si="24"/>
        <v>16.1</v>
      </c>
      <c r="C144" s="5">
        <f t="shared" si="26"/>
        <v>16.1</v>
      </c>
      <c r="D144" s="5">
        <f t="shared" si="26"/>
        <v>16.1</v>
      </c>
      <c r="E144" s="5">
        <f t="shared" si="26"/>
        <v>15.8</v>
      </c>
      <c r="F144" s="5">
        <f t="shared" si="26"/>
        <v>15.08</v>
      </c>
      <c r="G144" s="5">
        <f t="shared" si="26"/>
        <v>15.18</v>
      </c>
      <c r="H144" s="5">
        <f t="shared" si="26"/>
        <v>14.87</v>
      </c>
      <c r="I144" s="5">
        <f t="shared" si="26"/>
        <v>14.26</v>
      </c>
      <c r="J144" s="5">
        <f t="shared" si="26"/>
        <v>13.92</v>
      </c>
      <c r="K144" s="5">
        <f t="shared" si="26"/>
        <v>13.58</v>
      </c>
      <c r="L144" s="5">
        <f t="shared" si="26"/>
        <v>13.02</v>
      </c>
      <c r="M144" s="5">
        <f t="shared" si="26"/>
        <v>12.96</v>
      </c>
      <c r="N144" s="5">
        <f t="shared" si="26"/>
        <v>12.51</v>
      </c>
      <c r="O144" s="5">
        <f t="shared" si="26"/>
        <v>12.04</v>
      </c>
      <c r="P144" s="5">
        <f t="shared" si="26"/>
        <v>11.48</v>
      </c>
      <c r="Q144" s="5">
        <f t="shared" si="26"/>
        <v>9.86</v>
      </c>
      <c r="R144" s="5">
        <f t="shared" si="26"/>
        <v>7.67</v>
      </c>
      <c r="S144" s="5">
        <f t="shared" si="25"/>
        <v>6.98</v>
      </c>
      <c r="T144" s="5">
        <f t="shared" si="25"/>
        <v>5.46</v>
      </c>
      <c r="U144" s="5">
        <f t="shared" si="25"/>
        <v>3.93</v>
      </c>
      <c r="V144" s="5">
        <f t="shared" si="25"/>
        <v>3.71</v>
      </c>
      <c r="W144" s="5">
        <f t="shared" si="25"/>
        <v>3.04</v>
      </c>
      <c r="X144" s="5">
        <f t="shared" si="25"/>
        <v>2.7</v>
      </c>
      <c r="Y144" s="5">
        <f t="shared" si="25"/>
        <v>2.34</v>
      </c>
      <c r="Z144" s="5">
        <f t="shared" si="25"/>
        <v>2.29</v>
      </c>
      <c r="AA144" s="5">
        <f t="shared" si="25"/>
        <v>2.07</v>
      </c>
      <c r="AB144" s="5">
        <f t="shared" si="25"/>
        <v>1.75</v>
      </c>
      <c r="AC144" s="5">
        <f t="shared" si="25"/>
        <v>1.48</v>
      </c>
      <c r="AD144" s="5">
        <f t="shared" si="25"/>
        <v>1.44</v>
      </c>
      <c r="AE144" s="5">
        <f t="shared" si="25"/>
        <v>1.26</v>
      </c>
      <c r="AF144" s="5">
        <f t="shared" si="25"/>
        <v>1.21</v>
      </c>
      <c r="AG144" s="5">
        <f t="shared" si="25"/>
        <v>1.18</v>
      </c>
      <c r="AH144" s="5">
        <f t="shared" si="17"/>
        <v>1.04</v>
      </c>
      <c r="AI144" s="5">
        <f t="shared" si="17"/>
        <v>0.96</v>
      </c>
      <c r="AJ144" s="5">
        <f t="shared" si="17"/>
        <v>0.92</v>
      </c>
    </row>
    <row r="145" spans="1:36">
      <c r="A145" t="str">
        <f>"primary_archetype_"&amp;TEXT(ROUND(Table213[[#This Row],[2016]],1),"0.0")</f>
        <v>primary_archetype_16.0</v>
      </c>
      <c r="B145" s="5">
        <f t="shared" si="24"/>
        <v>16</v>
      </c>
      <c r="C145" s="5">
        <f t="shared" si="26"/>
        <v>16</v>
      </c>
      <c r="D145" s="5">
        <f t="shared" si="26"/>
        <v>16</v>
      </c>
      <c r="E145" s="5">
        <f t="shared" si="26"/>
        <v>15.7</v>
      </c>
      <c r="F145" s="5">
        <f t="shared" si="26"/>
        <v>14.99</v>
      </c>
      <c r="G145" s="5">
        <f t="shared" si="26"/>
        <v>15.09</v>
      </c>
      <c r="H145" s="5">
        <f t="shared" si="26"/>
        <v>14.78</v>
      </c>
      <c r="I145" s="5">
        <f t="shared" si="26"/>
        <v>14.18</v>
      </c>
      <c r="J145" s="5">
        <f t="shared" si="26"/>
        <v>13.84</v>
      </c>
      <c r="K145" s="5">
        <f t="shared" si="26"/>
        <v>13.49</v>
      </c>
      <c r="L145" s="5">
        <f t="shared" si="26"/>
        <v>12.94</v>
      </c>
      <c r="M145" s="5">
        <f t="shared" si="26"/>
        <v>12.88</v>
      </c>
      <c r="N145" s="5">
        <f t="shared" si="26"/>
        <v>12.43</v>
      </c>
      <c r="O145" s="5">
        <f t="shared" si="26"/>
        <v>11.96</v>
      </c>
      <c r="P145" s="5">
        <f t="shared" si="26"/>
        <v>11.41</v>
      </c>
      <c r="Q145" s="5">
        <f t="shared" si="26"/>
        <v>9.8</v>
      </c>
      <c r="R145" s="5">
        <f t="shared" si="26"/>
        <v>7.63</v>
      </c>
      <c r="S145" s="5">
        <f t="shared" si="25"/>
        <v>6.94</v>
      </c>
      <c r="T145" s="5">
        <f t="shared" si="25"/>
        <v>5.43</v>
      </c>
      <c r="U145" s="5">
        <f t="shared" si="25"/>
        <v>3.91</v>
      </c>
      <c r="V145" s="5">
        <f t="shared" si="25"/>
        <v>3.69</v>
      </c>
      <c r="W145" s="5">
        <f t="shared" si="25"/>
        <v>3.02</v>
      </c>
      <c r="X145" s="5">
        <f t="shared" si="25"/>
        <v>2.69</v>
      </c>
      <c r="Y145" s="5">
        <f t="shared" si="25"/>
        <v>2.34</v>
      </c>
      <c r="Z145" s="5">
        <f t="shared" si="25"/>
        <v>2.28</v>
      </c>
      <c r="AA145" s="5">
        <f t="shared" si="25"/>
        <v>2.06</v>
      </c>
      <c r="AB145" s="5">
        <f t="shared" si="25"/>
        <v>1.74</v>
      </c>
      <c r="AC145" s="5">
        <f t="shared" si="25"/>
        <v>1.48</v>
      </c>
      <c r="AD145" s="5">
        <f t="shared" si="25"/>
        <v>1.44</v>
      </c>
      <c r="AE145" s="5">
        <f t="shared" si="25"/>
        <v>1.26</v>
      </c>
      <c r="AF145" s="5">
        <f t="shared" si="25"/>
        <v>1.21</v>
      </c>
      <c r="AG145" s="5">
        <f t="shared" si="25"/>
        <v>1.18</v>
      </c>
      <c r="AH145" s="5">
        <f t="shared" si="17"/>
        <v>1.04</v>
      </c>
      <c r="AI145" s="5">
        <f t="shared" si="17"/>
        <v>0.96</v>
      </c>
      <c r="AJ145" s="5">
        <f t="shared" si="17"/>
        <v>0.92</v>
      </c>
    </row>
    <row r="146" spans="1:36">
      <c r="A146" t="str">
        <f>"primary_archetype_"&amp;TEXT(ROUND(Table213[[#This Row],[2016]],1),"0.0")</f>
        <v>primary_archetype_15.9</v>
      </c>
      <c r="B146" s="5">
        <f t="shared" si="24"/>
        <v>15.9</v>
      </c>
      <c r="C146" s="5">
        <f t="shared" si="26"/>
        <v>15.9</v>
      </c>
      <c r="D146" s="5">
        <f t="shared" si="26"/>
        <v>15.9</v>
      </c>
      <c r="E146" s="5">
        <f t="shared" si="26"/>
        <v>15.61</v>
      </c>
      <c r="F146" s="5">
        <f t="shared" si="26"/>
        <v>14.89</v>
      </c>
      <c r="G146" s="5">
        <f t="shared" si="26"/>
        <v>14.99</v>
      </c>
      <c r="H146" s="5">
        <f t="shared" si="26"/>
        <v>14.69</v>
      </c>
      <c r="I146" s="5">
        <f t="shared" si="26"/>
        <v>14.09</v>
      </c>
      <c r="J146" s="5">
        <f t="shared" si="26"/>
        <v>13.75</v>
      </c>
      <c r="K146" s="5">
        <f t="shared" si="26"/>
        <v>13.41</v>
      </c>
      <c r="L146" s="5">
        <f t="shared" si="26"/>
        <v>12.86</v>
      </c>
      <c r="M146" s="5">
        <f t="shared" si="26"/>
        <v>12.8</v>
      </c>
      <c r="N146" s="5">
        <f t="shared" si="26"/>
        <v>12.35</v>
      </c>
      <c r="O146" s="5">
        <f t="shared" si="26"/>
        <v>11.89</v>
      </c>
      <c r="P146" s="5">
        <f t="shared" si="26"/>
        <v>11.34</v>
      </c>
      <c r="Q146" s="5">
        <f t="shared" si="26"/>
        <v>9.74</v>
      </c>
      <c r="R146" s="5">
        <f t="shared" si="26"/>
        <v>7.58</v>
      </c>
      <c r="S146" s="5">
        <f t="shared" si="25"/>
        <v>6.9</v>
      </c>
      <c r="T146" s="5">
        <f t="shared" si="25"/>
        <v>5.4</v>
      </c>
      <c r="U146" s="5">
        <f t="shared" si="25"/>
        <v>3.89</v>
      </c>
      <c r="V146" s="5">
        <f t="shared" si="25"/>
        <v>3.67</v>
      </c>
      <c r="W146" s="5">
        <f t="shared" si="25"/>
        <v>3.01</v>
      </c>
      <c r="X146" s="5">
        <f t="shared" si="25"/>
        <v>2.68</v>
      </c>
      <c r="Y146" s="5">
        <f t="shared" si="25"/>
        <v>2.33</v>
      </c>
      <c r="Z146" s="5">
        <f t="shared" si="25"/>
        <v>2.27</v>
      </c>
      <c r="AA146" s="5">
        <f t="shared" si="25"/>
        <v>2.06</v>
      </c>
      <c r="AB146" s="5">
        <f t="shared" si="25"/>
        <v>1.74</v>
      </c>
      <c r="AC146" s="5">
        <f t="shared" si="25"/>
        <v>1.48</v>
      </c>
      <c r="AD146" s="5">
        <f t="shared" si="25"/>
        <v>1.44</v>
      </c>
      <c r="AE146" s="5">
        <f t="shared" si="25"/>
        <v>1.26</v>
      </c>
      <c r="AF146" s="5">
        <f t="shared" si="25"/>
        <v>1.21</v>
      </c>
      <c r="AG146" s="5">
        <f t="shared" si="25"/>
        <v>1.17</v>
      </c>
      <c r="AH146" s="5">
        <f t="shared" si="17"/>
        <v>1.04</v>
      </c>
      <c r="AI146" s="5">
        <f t="shared" si="17"/>
        <v>0.96</v>
      </c>
      <c r="AJ146" s="5">
        <f t="shared" si="17"/>
        <v>0.92</v>
      </c>
    </row>
    <row r="147" spans="1:36">
      <c r="A147" t="str">
        <f>"primary_archetype_"&amp;TEXT(ROUND(Table213[[#This Row],[2016]],1),"0.0")</f>
        <v>primary_archetype_15.8</v>
      </c>
      <c r="B147" s="5">
        <f t="shared" si="24"/>
        <v>15.8</v>
      </c>
      <c r="C147" s="5">
        <f t="shared" si="26"/>
        <v>15.8</v>
      </c>
      <c r="D147" s="5">
        <f t="shared" si="26"/>
        <v>15.8</v>
      </c>
      <c r="E147" s="5">
        <f t="shared" si="26"/>
        <v>15.51</v>
      </c>
      <c r="F147" s="5">
        <f t="shared" si="26"/>
        <v>14.8</v>
      </c>
      <c r="G147" s="5">
        <f t="shared" si="26"/>
        <v>14.9</v>
      </c>
      <c r="H147" s="5">
        <f t="shared" si="26"/>
        <v>14.59</v>
      </c>
      <c r="I147" s="5">
        <f t="shared" si="26"/>
        <v>14</v>
      </c>
      <c r="J147" s="5">
        <f t="shared" si="26"/>
        <v>13.67</v>
      </c>
      <c r="K147" s="5">
        <f t="shared" si="26"/>
        <v>13.33</v>
      </c>
      <c r="L147" s="5">
        <f t="shared" si="26"/>
        <v>12.79</v>
      </c>
      <c r="M147" s="5">
        <f t="shared" si="26"/>
        <v>12.72</v>
      </c>
      <c r="N147" s="5">
        <f t="shared" si="26"/>
        <v>12.28</v>
      </c>
      <c r="O147" s="5">
        <f t="shared" si="26"/>
        <v>11.82</v>
      </c>
      <c r="P147" s="5">
        <f t="shared" si="26"/>
        <v>11.28</v>
      </c>
      <c r="Q147" s="5">
        <f t="shared" si="26"/>
        <v>9.69</v>
      </c>
      <c r="R147" s="5">
        <f t="shared" si="26"/>
        <v>7.54</v>
      </c>
      <c r="S147" s="5">
        <f t="shared" si="25"/>
        <v>6.86</v>
      </c>
      <c r="T147" s="5">
        <f t="shared" si="25"/>
        <v>5.37</v>
      </c>
      <c r="U147" s="5">
        <f t="shared" si="25"/>
        <v>3.87</v>
      </c>
      <c r="V147" s="5">
        <f t="shared" si="25"/>
        <v>3.65</v>
      </c>
      <c r="W147" s="5">
        <f t="shared" si="25"/>
        <v>3</v>
      </c>
      <c r="X147" s="5">
        <f t="shared" si="25"/>
        <v>2.66</v>
      </c>
      <c r="Y147" s="5">
        <f t="shared" si="25"/>
        <v>2.32</v>
      </c>
      <c r="Z147" s="5">
        <f t="shared" si="25"/>
        <v>2.26</v>
      </c>
      <c r="AA147" s="5">
        <f t="shared" si="25"/>
        <v>2.05</v>
      </c>
      <c r="AB147" s="5">
        <f t="shared" si="25"/>
        <v>1.73</v>
      </c>
      <c r="AC147" s="5">
        <f t="shared" si="25"/>
        <v>1.48</v>
      </c>
      <c r="AD147" s="5">
        <f t="shared" si="25"/>
        <v>1.43</v>
      </c>
      <c r="AE147" s="5">
        <f t="shared" si="25"/>
        <v>1.26</v>
      </c>
      <c r="AF147" s="5">
        <f t="shared" si="25"/>
        <v>1.21</v>
      </c>
      <c r="AG147" s="5">
        <f t="shared" si="25"/>
        <v>1.17</v>
      </c>
      <c r="AH147" s="5">
        <f t="shared" ref="AH147:AJ210" si="27">MROUND((($B147-$AH$2)*((AH$2-$AH$2)/($B$2-$AH$2)))+$AH$2,0.01)</f>
        <v>1.04</v>
      </c>
      <c r="AI147" s="5">
        <f t="shared" si="27"/>
        <v>0.96</v>
      </c>
      <c r="AJ147" s="5">
        <f t="shared" si="27"/>
        <v>0.92</v>
      </c>
    </row>
    <row r="148" spans="1:36">
      <c r="A148" t="str">
        <f>"primary_archetype_"&amp;TEXT(ROUND(Table213[[#This Row],[2016]],1),"0.0")</f>
        <v>primary_archetype_15.7</v>
      </c>
      <c r="B148" s="5">
        <f t="shared" si="24"/>
        <v>15.7</v>
      </c>
      <c r="C148" s="5">
        <f t="shared" si="26"/>
        <v>15.7</v>
      </c>
      <c r="D148" s="5">
        <f t="shared" si="26"/>
        <v>15.7</v>
      </c>
      <c r="E148" s="5">
        <f t="shared" si="26"/>
        <v>15.41</v>
      </c>
      <c r="F148" s="5">
        <f t="shared" si="26"/>
        <v>14.71</v>
      </c>
      <c r="G148" s="5">
        <f t="shared" si="26"/>
        <v>14.81</v>
      </c>
      <c r="H148" s="5">
        <f t="shared" si="26"/>
        <v>14.5</v>
      </c>
      <c r="I148" s="5">
        <f t="shared" si="26"/>
        <v>13.91</v>
      </c>
      <c r="J148" s="5">
        <f t="shared" si="26"/>
        <v>13.58</v>
      </c>
      <c r="K148" s="5">
        <f t="shared" si="26"/>
        <v>13.24</v>
      </c>
      <c r="L148" s="5">
        <f t="shared" si="26"/>
        <v>12.71</v>
      </c>
      <c r="M148" s="5">
        <f t="shared" si="26"/>
        <v>12.64</v>
      </c>
      <c r="N148" s="5">
        <f t="shared" si="26"/>
        <v>12.2</v>
      </c>
      <c r="O148" s="5">
        <f t="shared" si="26"/>
        <v>11.74</v>
      </c>
      <c r="P148" s="5">
        <f t="shared" si="26"/>
        <v>11.21</v>
      </c>
      <c r="Q148" s="5">
        <f t="shared" si="26"/>
        <v>9.63</v>
      </c>
      <c r="R148" s="5">
        <f t="shared" si="26"/>
        <v>7.5</v>
      </c>
      <c r="S148" s="5">
        <f t="shared" si="25"/>
        <v>6.82</v>
      </c>
      <c r="T148" s="5">
        <f t="shared" si="25"/>
        <v>5.34</v>
      </c>
      <c r="U148" s="5">
        <f t="shared" si="25"/>
        <v>3.85</v>
      </c>
      <c r="V148" s="5">
        <f t="shared" si="25"/>
        <v>3.64</v>
      </c>
      <c r="W148" s="5">
        <f t="shared" si="25"/>
        <v>2.98</v>
      </c>
      <c r="X148" s="5">
        <f t="shared" si="25"/>
        <v>2.65</v>
      </c>
      <c r="Y148" s="5">
        <f t="shared" si="25"/>
        <v>2.31</v>
      </c>
      <c r="Z148" s="5">
        <f t="shared" si="25"/>
        <v>2.26</v>
      </c>
      <c r="AA148" s="5">
        <f t="shared" si="25"/>
        <v>2.04</v>
      </c>
      <c r="AB148" s="5">
        <f t="shared" si="25"/>
        <v>1.73</v>
      </c>
      <c r="AC148" s="5">
        <f t="shared" si="25"/>
        <v>1.47</v>
      </c>
      <c r="AD148" s="5">
        <f t="shared" si="25"/>
        <v>1.43</v>
      </c>
      <c r="AE148" s="5">
        <f t="shared" si="25"/>
        <v>1.26</v>
      </c>
      <c r="AF148" s="5">
        <f t="shared" si="25"/>
        <v>1.21</v>
      </c>
      <c r="AG148" s="5">
        <f t="shared" si="25"/>
        <v>1.17</v>
      </c>
      <c r="AH148" s="5">
        <f t="shared" si="27"/>
        <v>1.04</v>
      </c>
      <c r="AI148" s="5">
        <f t="shared" si="27"/>
        <v>0.96</v>
      </c>
      <c r="AJ148" s="5">
        <f t="shared" si="27"/>
        <v>0.92</v>
      </c>
    </row>
    <row r="149" spans="1:36">
      <c r="A149" t="str">
        <f>"primary_archetype_"&amp;TEXT(ROUND(Table213[[#This Row],[2016]],1),"0.0")</f>
        <v>primary_archetype_15.6</v>
      </c>
      <c r="B149" s="5">
        <f t="shared" si="24"/>
        <v>15.6</v>
      </c>
      <c r="C149" s="5">
        <f t="shared" si="26"/>
        <v>15.6</v>
      </c>
      <c r="D149" s="5">
        <f t="shared" si="26"/>
        <v>15.6</v>
      </c>
      <c r="E149" s="5">
        <f t="shared" si="26"/>
        <v>15.31</v>
      </c>
      <c r="F149" s="5">
        <f t="shared" si="26"/>
        <v>14.62</v>
      </c>
      <c r="G149" s="5">
        <f t="shared" si="26"/>
        <v>14.71</v>
      </c>
      <c r="H149" s="5">
        <f t="shared" si="26"/>
        <v>14.41</v>
      </c>
      <c r="I149" s="5">
        <f t="shared" si="26"/>
        <v>13.82</v>
      </c>
      <c r="J149" s="5">
        <f t="shared" si="26"/>
        <v>13.5</v>
      </c>
      <c r="K149" s="5">
        <f t="shared" si="26"/>
        <v>13.16</v>
      </c>
      <c r="L149" s="5">
        <f t="shared" si="26"/>
        <v>12.63</v>
      </c>
      <c r="M149" s="5">
        <f t="shared" si="26"/>
        <v>12.56</v>
      </c>
      <c r="N149" s="5">
        <f t="shared" si="26"/>
        <v>12.12</v>
      </c>
      <c r="O149" s="5">
        <f t="shared" si="26"/>
        <v>11.67</v>
      </c>
      <c r="P149" s="5">
        <f t="shared" si="26"/>
        <v>11.14</v>
      </c>
      <c r="Q149" s="5">
        <f t="shared" si="26"/>
        <v>9.57</v>
      </c>
      <c r="R149" s="5">
        <f t="shared" si="26"/>
        <v>7.45</v>
      </c>
      <c r="S149" s="5">
        <f t="shared" si="25"/>
        <v>6.78</v>
      </c>
      <c r="T149" s="5">
        <f t="shared" si="25"/>
        <v>5.31</v>
      </c>
      <c r="U149" s="5">
        <f t="shared" si="25"/>
        <v>3.83</v>
      </c>
      <c r="V149" s="5">
        <f t="shared" si="25"/>
        <v>3.62</v>
      </c>
      <c r="W149" s="5">
        <f t="shared" si="25"/>
        <v>2.97</v>
      </c>
      <c r="X149" s="5">
        <f t="shared" si="25"/>
        <v>2.64</v>
      </c>
      <c r="Y149" s="5">
        <f t="shared" si="25"/>
        <v>2.3</v>
      </c>
      <c r="Z149" s="5">
        <f t="shared" si="25"/>
        <v>2.25</v>
      </c>
      <c r="AA149" s="5">
        <f t="shared" si="25"/>
        <v>2.03</v>
      </c>
      <c r="AB149" s="5">
        <f t="shared" si="25"/>
        <v>1.72</v>
      </c>
      <c r="AC149" s="5">
        <f t="shared" si="25"/>
        <v>1.47</v>
      </c>
      <c r="AD149" s="5">
        <f t="shared" si="25"/>
        <v>1.43</v>
      </c>
      <c r="AE149" s="5">
        <f t="shared" si="25"/>
        <v>1.26</v>
      </c>
      <c r="AF149" s="5">
        <f t="shared" si="25"/>
        <v>1.21</v>
      </c>
      <c r="AG149" s="5">
        <f t="shared" si="25"/>
        <v>1.17</v>
      </c>
      <c r="AH149" s="5">
        <f t="shared" si="27"/>
        <v>1.04</v>
      </c>
      <c r="AI149" s="5">
        <f t="shared" si="27"/>
        <v>0.96</v>
      </c>
      <c r="AJ149" s="5">
        <f t="shared" si="27"/>
        <v>0.92</v>
      </c>
    </row>
    <row r="150" spans="1:36">
      <c r="A150" t="str">
        <f>"primary_archetype_"&amp;TEXT(ROUND(Table213[[#This Row],[2016]],1),"0.0")</f>
        <v>primary_archetype_15.5</v>
      </c>
      <c r="B150" s="5">
        <f t="shared" si="24"/>
        <v>15.5</v>
      </c>
      <c r="C150" s="5">
        <f t="shared" si="26"/>
        <v>15.5</v>
      </c>
      <c r="D150" s="5">
        <f t="shared" si="26"/>
        <v>15.5</v>
      </c>
      <c r="E150" s="5">
        <f t="shared" si="26"/>
        <v>15.21</v>
      </c>
      <c r="F150" s="5">
        <f t="shared" si="26"/>
        <v>14.52</v>
      </c>
      <c r="G150" s="5">
        <f t="shared" si="26"/>
        <v>14.62</v>
      </c>
      <c r="H150" s="5">
        <f t="shared" si="26"/>
        <v>14.32</v>
      </c>
      <c r="I150" s="5">
        <f t="shared" si="26"/>
        <v>13.74</v>
      </c>
      <c r="J150" s="5">
        <f t="shared" si="26"/>
        <v>13.41</v>
      </c>
      <c r="K150" s="5">
        <f t="shared" si="26"/>
        <v>13.08</v>
      </c>
      <c r="L150" s="5">
        <f t="shared" si="26"/>
        <v>12.55</v>
      </c>
      <c r="M150" s="5">
        <f t="shared" si="26"/>
        <v>12.48</v>
      </c>
      <c r="N150" s="5">
        <f t="shared" si="26"/>
        <v>12.05</v>
      </c>
      <c r="O150" s="5">
        <f t="shared" si="26"/>
        <v>11.6</v>
      </c>
      <c r="P150" s="5">
        <f t="shared" si="26"/>
        <v>11.07</v>
      </c>
      <c r="Q150" s="5">
        <f t="shared" si="26"/>
        <v>9.51</v>
      </c>
      <c r="R150" s="5">
        <f t="shared" si="26"/>
        <v>7.41</v>
      </c>
      <c r="S150" s="5">
        <f t="shared" si="25"/>
        <v>6.74</v>
      </c>
      <c r="T150" s="5">
        <f t="shared" si="25"/>
        <v>5.28</v>
      </c>
      <c r="U150" s="5">
        <f t="shared" si="25"/>
        <v>3.81</v>
      </c>
      <c r="V150" s="5">
        <f t="shared" si="25"/>
        <v>3.6</v>
      </c>
      <c r="W150" s="5">
        <f t="shared" si="25"/>
        <v>2.96</v>
      </c>
      <c r="X150" s="5">
        <f t="shared" si="25"/>
        <v>2.63</v>
      </c>
      <c r="Y150" s="5">
        <f t="shared" si="25"/>
        <v>2.29</v>
      </c>
      <c r="Z150" s="5">
        <f t="shared" si="25"/>
        <v>2.24</v>
      </c>
      <c r="AA150" s="5">
        <f t="shared" si="25"/>
        <v>2.03</v>
      </c>
      <c r="AB150" s="5">
        <f t="shared" si="25"/>
        <v>1.72</v>
      </c>
      <c r="AC150" s="5">
        <f t="shared" si="25"/>
        <v>1.47</v>
      </c>
      <c r="AD150" s="5">
        <f t="shared" si="25"/>
        <v>1.42</v>
      </c>
      <c r="AE150" s="5">
        <f t="shared" si="25"/>
        <v>1.25</v>
      </c>
      <c r="AF150" s="5">
        <f t="shared" si="25"/>
        <v>1.21</v>
      </c>
      <c r="AG150" s="5">
        <f t="shared" si="25"/>
        <v>1.17</v>
      </c>
      <c r="AH150" s="5">
        <f t="shared" si="27"/>
        <v>1.04</v>
      </c>
      <c r="AI150" s="5">
        <f t="shared" si="27"/>
        <v>0.96</v>
      </c>
      <c r="AJ150" s="5">
        <f t="shared" si="27"/>
        <v>0.93</v>
      </c>
    </row>
    <row r="151" spans="1:36">
      <c r="A151" t="str">
        <f>"primary_archetype_"&amp;TEXT(ROUND(Table213[[#This Row],[2016]],1),"0.0")</f>
        <v>primary_archetype_15.4</v>
      </c>
      <c r="B151" s="5">
        <f t="shared" si="24"/>
        <v>15.4</v>
      </c>
      <c r="C151" s="5">
        <f t="shared" si="26"/>
        <v>15.4</v>
      </c>
      <c r="D151" s="5">
        <f t="shared" si="26"/>
        <v>15.4</v>
      </c>
      <c r="E151" s="5">
        <f t="shared" si="26"/>
        <v>15.12</v>
      </c>
      <c r="F151" s="5">
        <f t="shared" si="26"/>
        <v>14.43</v>
      </c>
      <c r="G151" s="5">
        <f t="shared" si="26"/>
        <v>14.52</v>
      </c>
      <c r="H151" s="5">
        <f t="shared" si="26"/>
        <v>14.23</v>
      </c>
      <c r="I151" s="5">
        <f t="shared" si="26"/>
        <v>13.65</v>
      </c>
      <c r="J151" s="5">
        <f t="shared" si="26"/>
        <v>13.33</v>
      </c>
      <c r="K151" s="5">
        <f t="shared" si="26"/>
        <v>12.99</v>
      </c>
      <c r="L151" s="5">
        <f t="shared" si="26"/>
        <v>12.47</v>
      </c>
      <c r="M151" s="5">
        <f t="shared" si="26"/>
        <v>12.4</v>
      </c>
      <c r="N151" s="5">
        <f t="shared" si="26"/>
        <v>11.97</v>
      </c>
      <c r="O151" s="5">
        <f t="shared" si="26"/>
        <v>11.53</v>
      </c>
      <c r="P151" s="5">
        <f t="shared" si="26"/>
        <v>11</v>
      </c>
      <c r="Q151" s="5">
        <f t="shared" si="26"/>
        <v>9.45</v>
      </c>
      <c r="R151" s="5">
        <f t="shared" si="26"/>
        <v>7.36</v>
      </c>
      <c r="S151" s="5">
        <f t="shared" si="25"/>
        <v>6.7</v>
      </c>
      <c r="T151" s="5">
        <f t="shared" si="25"/>
        <v>5.25</v>
      </c>
      <c r="U151" s="5">
        <f t="shared" si="25"/>
        <v>3.79</v>
      </c>
      <c r="V151" s="5">
        <f t="shared" si="25"/>
        <v>3.58</v>
      </c>
      <c r="W151" s="5">
        <f t="shared" si="25"/>
        <v>2.94</v>
      </c>
      <c r="X151" s="5">
        <f t="shared" si="25"/>
        <v>2.62</v>
      </c>
      <c r="Y151" s="5">
        <f t="shared" si="25"/>
        <v>2.28</v>
      </c>
      <c r="Z151" s="5">
        <f t="shared" si="25"/>
        <v>2.23</v>
      </c>
      <c r="AA151" s="5">
        <f t="shared" si="25"/>
        <v>2.02</v>
      </c>
      <c r="AB151" s="5">
        <f t="shared" si="25"/>
        <v>1.71</v>
      </c>
      <c r="AC151" s="5">
        <f t="shared" si="25"/>
        <v>1.46</v>
      </c>
      <c r="AD151" s="5">
        <f t="shared" si="25"/>
        <v>1.42</v>
      </c>
      <c r="AE151" s="5">
        <f t="shared" si="25"/>
        <v>1.25</v>
      </c>
      <c r="AF151" s="5">
        <f t="shared" si="25"/>
        <v>1.2</v>
      </c>
      <c r="AG151" s="5">
        <f t="shared" si="25"/>
        <v>1.17</v>
      </c>
      <c r="AH151" s="5">
        <f t="shared" si="27"/>
        <v>1.04</v>
      </c>
      <c r="AI151" s="5">
        <f t="shared" si="27"/>
        <v>0.96</v>
      </c>
      <c r="AJ151" s="5">
        <f t="shared" si="27"/>
        <v>0.93</v>
      </c>
    </row>
    <row r="152" spans="1:36">
      <c r="A152" t="str">
        <f>"primary_archetype_"&amp;TEXT(ROUND(Table213[[#This Row],[2016]],1),"0.0")</f>
        <v>primary_archetype_15.3</v>
      </c>
      <c r="B152" s="5">
        <f t="shared" si="24"/>
        <v>15.3</v>
      </c>
      <c r="C152" s="5">
        <f t="shared" si="26"/>
        <v>15.3</v>
      </c>
      <c r="D152" s="5">
        <f t="shared" si="26"/>
        <v>15.3</v>
      </c>
      <c r="E152" s="5">
        <f t="shared" si="26"/>
        <v>15.02</v>
      </c>
      <c r="F152" s="5">
        <f t="shared" si="26"/>
        <v>14.34</v>
      </c>
      <c r="G152" s="5">
        <f t="shared" si="26"/>
        <v>14.43</v>
      </c>
      <c r="H152" s="5">
        <f t="shared" si="26"/>
        <v>14.13</v>
      </c>
      <c r="I152" s="5">
        <f t="shared" si="26"/>
        <v>13.56</v>
      </c>
      <c r="J152" s="5">
        <f t="shared" si="26"/>
        <v>13.24</v>
      </c>
      <c r="K152" s="5">
        <f t="shared" si="26"/>
        <v>12.91</v>
      </c>
      <c r="L152" s="5">
        <f t="shared" si="26"/>
        <v>12.39</v>
      </c>
      <c r="M152" s="5">
        <f t="shared" si="26"/>
        <v>12.32</v>
      </c>
      <c r="N152" s="5">
        <f t="shared" si="26"/>
        <v>11.9</v>
      </c>
      <c r="O152" s="5">
        <f t="shared" si="26"/>
        <v>11.45</v>
      </c>
      <c r="P152" s="5">
        <f t="shared" si="26"/>
        <v>10.93</v>
      </c>
      <c r="Q152" s="5">
        <f t="shared" si="26"/>
        <v>9.39</v>
      </c>
      <c r="R152" s="5">
        <f t="shared" si="26"/>
        <v>7.32</v>
      </c>
      <c r="S152" s="5">
        <f t="shared" si="25"/>
        <v>6.66</v>
      </c>
      <c r="T152" s="5">
        <f t="shared" si="25"/>
        <v>5.22</v>
      </c>
      <c r="U152" s="5">
        <f t="shared" si="25"/>
        <v>3.78</v>
      </c>
      <c r="V152" s="5">
        <f t="shared" si="25"/>
        <v>3.57</v>
      </c>
      <c r="W152" s="5">
        <f t="shared" si="25"/>
        <v>2.93</v>
      </c>
      <c r="X152" s="5">
        <f t="shared" si="25"/>
        <v>2.61</v>
      </c>
      <c r="Y152" s="5">
        <f t="shared" si="25"/>
        <v>2.28</v>
      </c>
      <c r="Z152" s="5">
        <f t="shared" si="25"/>
        <v>2.22</v>
      </c>
      <c r="AA152" s="5">
        <f t="shared" si="25"/>
        <v>2.01</v>
      </c>
      <c r="AB152" s="5">
        <f t="shared" si="25"/>
        <v>1.71</v>
      </c>
      <c r="AC152" s="5">
        <f t="shared" si="25"/>
        <v>1.46</v>
      </c>
      <c r="AD152" s="5">
        <f t="shared" si="25"/>
        <v>1.42</v>
      </c>
      <c r="AE152" s="5">
        <f t="shared" si="25"/>
        <v>1.25</v>
      </c>
      <c r="AF152" s="5">
        <f t="shared" si="25"/>
        <v>1.2</v>
      </c>
      <c r="AG152" s="5">
        <f t="shared" si="25"/>
        <v>1.17</v>
      </c>
      <c r="AH152" s="5">
        <f t="shared" si="27"/>
        <v>1.04</v>
      </c>
      <c r="AI152" s="5">
        <f t="shared" si="27"/>
        <v>0.96</v>
      </c>
      <c r="AJ152" s="5">
        <f t="shared" si="27"/>
        <v>0.93</v>
      </c>
    </row>
    <row r="153" spans="1:36">
      <c r="A153" t="str">
        <f>"primary_archetype_"&amp;TEXT(ROUND(Table213[[#This Row],[2016]],1),"0.0")</f>
        <v>primary_archetype_15.2</v>
      </c>
      <c r="B153" s="5">
        <f t="shared" si="24"/>
        <v>15.2</v>
      </c>
      <c r="C153" s="5">
        <f t="shared" si="26"/>
        <v>15.2</v>
      </c>
      <c r="D153" s="5">
        <f t="shared" si="26"/>
        <v>15.2</v>
      </c>
      <c r="E153" s="5">
        <f t="shared" si="26"/>
        <v>14.92</v>
      </c>
      <c r="F153" s="5">
        <f t="shared" si="26"/>
        <v>14.24</v>
      </c>
      <c r="G153" s="5">
        <f t="shared" si="26"/>
        <v>14.34</v>
      </c>
      <c r="H153" s="5">
        <f t="shared" si="26"/>
        <v>14.04</v>
      </c>
      <c r="I153" s="5">
        <f t="shared" si="26"/>
        <v>13.47</v>
      </c>
      <c r="J153" s="5">
        <f t="shared" si="26"/>
        <v>13.15</v>
      </c>
      <c r="K153" s="5">
        <f t="shared" si="26"/>
        <v>12.83</v>
      </c>
      <c r="L153" s="5">
        <f t="shared" si="26"/>
        <v>12.31</v>
      </c>
      <c r="M153" s="5">
        <f t="shared" si="26"/>
        <v>12.24</v>
      </c>
      <c r="N153" s="5">
        <f t="shared" si="26"/>
        <v>11.82</v>
      </c>
      <c r="O153" s="5">
        <f t="shared" si="26"/>
        <v>11.38</v>
      </c>
      <c r="P153" s="5">
        <f t="shared" si="26"/>
        <v>10.86</v>
      </c>
      <c r="Q153" s="5">
        <f t="shared" si="26"/>
        <v>9.33</v>
      </c>
      <c r="R153" s="5">
        <f t="shared" si="26"/>
        <v>7.28</v>
      </c>
      <c r="S153" s="5">
        <f t="shared" si="25"/>
        <v>6.62</v>
      </c>
      <c r="T153" s="5">
        <f t="shared" si="25"/>
        <v>5.19</v>
      </c>
      <c r="U153" s="5">
        <f t="shared" si="25"/>
        <v>3.76</v>
      </c>
      <c r="V153" s="5">
        <f t="shared" si="25"/>
        <v>3.55</v>
      </c>
      <c r="W153" s="5">
        <f t="shared" si="25"/>
        <v>2.92</v>
      </c>
      <c r="X153" s="5">
        <f t="shared" si="25"/>
        <v>2.6</v>
      </c>
      <c r="Y153" s="5">
        <f t="shared" si="25"/>
        <v>2.27</v>
      </c>
      <c r="Z153" s="5">
        <f t="shared" si="25"/>
        <v>2.21</v>
      </c>
      <c r="AA153" s="5">
        <f t="shared" si="25"/>
        <v>2.01</v>
      </c>
      <c r="AB153" s="5">
        <f t="shared" si="25"/>
        <v>1.7</v>
      </c>
      <c r="AC153" s="5">
        <f t="shared" si="25"/>
        <v>1.46</v>
      </c>
      <c r="AD153" s="5">
        <f t="shared" si="25"/>
        <v>1.42</v>
      </c>
      <c r="AE153" s="5">
        <f t="shared" si="25"/>
        <v>1.25</v>
      </c>
      <c r="AF153" s="5">
        <f t="shared" si="25"/>
        <v>1.2</v>
      </c>
      <c r="AG153" s="5">
        <f t="shared" si="25"/>
        <v>1.17</v>
      </c>
      <c r="AH153" s="5">
        <f t="shared" si="27"/>
        <v>1.04</v>
      </c>
      <c r="AI153" s="5">
        <f t="shared" si="27"/>
        <v>0.96</v>
      </c>
      <c r="AJ153" s="5">
        <f t="shared" si="27"/>
        <v>0.93</v>
      </c>
    </row>
    <row r="154" spans="1:36">
      <c r="A154" t="str">
        <f>"primary_archetype_"&amp;TEXT(ROUND(Table213[[#This Row],[2016]],1),"0.0")</f>
        <v>primary_archetype_15.1</v>
      </c>
      <c r="B154" s="5">
        <f t="shared" si="24"/>
        <v>15.1</v>
      </c>
      <c r="C154" s="5">
        <f t="shared" si="26"/>
        <v>15.1</v>
      </c>
      <c r="D154" s="5">
        <f t="shared" si="26"/>
        <v>15.1</v>
      </c>
      <c r="E154" s="5">
        <f t="shared" si="26"/>
        <v>14.82</v>
      </c>
      <c r="F154" s="5">
        <f t="shared" si="26"/>
        <v>14.15</v>
      </c>
      <c r="G154" s="5">
        <f t="shared" si="26"/>
        <v>14.24</v>
      </c>
      <c r="H154" s="5">
        <f t="shared" si="26"/>
        <v>13.95</v>
      </c>
      <c r="I154" s="5">
        <f t="shared" si="26"/>
        <v>13.39</v>
      </c>
      <c r="J154" s="5">
        <f t="shared" si="26"/>
        <v>13.07</v>
      </c>
      <c r="K154" s="5">
        <f t="shared" si="26"/>
        <v>12.74</v>
      </c>
      <c r="L154" s="5">
        <f t="shared" si="26"/>
        <v>12.23</v>
      </c>
      <c r="M154" s="5">
        <f t="shared" si="26"/>
        <v>12.17</v>
      </c>
      <c r="N154" s="5">
        <f t="shared" si="26"/>
        <v>11.74</v>
      </c>
      <c r="O154" s="5">
        <f t="shared" si="26"/>
        <v>11.31</v>
      </c>
      <c r="P154" s="5">
        <f t="shared" si="26"/>
        <v>10.79</v>
      </c>
      <c r="Q154" s="5">
        <f t="shared" si="26"/>
        <v>9.28</v>
      </c>
      <c r="R154" s="5">
        <f t="shared" si="26"/>
        <v>7.23</v>
      </c>
      <c r="S154" s="5">
        <f t="shared" si="25"/>
        <v>6.58</v>
      </c>
      <c r="T154" s="5">
        <f t="shared" si="25"/>
        <v>5.16</v>
      </c>
      <c r="U154" s="5">
        <f t="shared" si="25"/>
        <v>3.74</v>
      </c>
      <c r="V154" s="5">
        <f t="shared" si="25"/>
        <v>3.53</v>
      </c>
      <c r="W154" s="5">
        <f t="shared" si="25"/>
        <v>2.9</v>
      </c>
      <c r="X154" s="5">
        <f t="shared" si="25"/>
        <v>2.59</v>
      </c>
      <c r="Y154" s="5">
        <f t="shared" si="25"/>
        <v>2.26</v>
      </c>
      <c r="Z154" s="5">
        <f t="shared" si="25"/>
        <v>2.21</v>
      </c>
      <c r="AA154" s="5">
        <f t="shared" si="25"/>
        <v>2</v>
      </c>
      <c r="AB154" s="5">
        <f t="shared" si="25"/>
        <v>1.7</v>
      </c>
      <c r="AC154" s="5">
        <f t="shared" si="25"/>
        <v>1.45</v>
      </c>
      <c r="AD154" s="5">
        <f t="shared" si="25"/>
        <v>1.41</v>
      </c>
      <c r="AE154" s="5">
        <f t="shared" si="25"/>
        <v>1.25</v>
      </c>
      <c r="AF154" s="5">
        <f t="shared" si="25"/>
        <v>1.2</v>
      </c>
      <c r="AG154" s="5">
        <f t="shared" si="25"/>
        <v>1.17</v>
      </c>
      <c r="AH154" s="5">
        <f t="shared" si="27"/>
        <v>1.04</v>
      </c>
      <c r="AI154" s="5">
        <f t="shared" si="27"/>
        <v>0.96</v>
      </c>
      <c r="AJ154" s="5">
        <f t="shared" si="27"/>
        <v>0.93</v>
      </c>
    </row>
    <row r="155" spans="1:36">
      <c r="A155" t="str">
        <f>"primary_archetype_"&amp;TEXT(ROUND(Table213[[#This Row],[2016]],1),"0.0")</f>
        <v>primary_archetype_15.0</v>
      </c>
      <c r="B155" s="5">
        <f t="shared" si="24"/>
        <v>15</v>
      </c>
      <c r="C155" s="5">
        <f t="shared" si="26"/>
        <v>15</v>
      </c>
      <c r="D155" s="5">
        <f t="shared" si="26"/>
        <v>15</v>
      </c>
      <c r="E155" s="5">
        <f t="shared" si="26"/>
        <v>14.72</v>
      </c>
      <c r="F155" s="5">
        <f t="shared" si="26"/>
        <v>14.06</v>
      </c>
      <c r="G155" s="5">
        <f t="shared" si="26"/>
        <v>14.15</v>
      </c>
      <c r="H155" s="5">
        <f t="shared" si="26"/>
        <v>13.86</v>
      </c>
      <c r="I155" s="5">
        <f t="shared" si="26"/>
        <v>13.3</v>
      </c>
      <c r="J155" s="5">
        <f t="shared" si="26"/>
        <v>12.98</v>
      </c>
      <c r="K155" s="5">
        <f t="shared" si="26"/>
        <v>12.66</v>
      </c>
      <c r="L155" s="5">
        <f t="shared" si="26"/>
        <v>12.15</v>
      </c>
      <c r="M155" s="5">
        <f t="shared" si="26"/>
        <v>12.09</v>
      </c>
      <c r="N155" s="5">
        <f t="shared" si="26"/>
        <v>11.67</v>
      </c>
      <c r="O155" s="5">
        <f t="shared" si="26"/>
        <v>11.23</v>
      </c>
      <c r="P155" s="5">
        <f t="shared" si="26"/>
        <v>10.72</v>
      </c>
      <c r="Q155" s="5">
        <f t="shared" si="26"/>
        <v>9.22</v>
      </c>
      <c r="R155" s="5">
        <f t="shared" si="26"/>
        <v>7.19</v>
      </c>
      <c r="S155" s="5">
        <f t="shared" si="25"/>
        <v>6.54</v>
      </c>
      <c r="T155" s="5">
        <f t="shared" si="25"/>
        <v>5.14</v>
      </c>
      <c r="U155" s="5">
        <f t="shared" si="25"/>
        <v>3.72</v>
      </c>
      <c r="V155" s="5">
        <f t="shared" si="25"/>
        <v>3.51</v>
      </c>
      <c r="W155" s="5">
        <f t="shared" si="25"/>
        <v>2.89</v>
      </c>
      <c r="X155" s="5">
        <f t="shared" si="25"/>
        <v>2.58</v>
      </c>
      <c r="Y155" s="5">
        <f t="shared" si="25"/>
        <v>2.25</v>
      </c>
      <c r="Z155" s="5">
        <f t="shared" si="25"/>
        <v>2.2</v>
      </c>
      <c r="AA155" s="5">
        <f t="shared" si="25"/>
        <v>1.99</v>
      </c>
      <c r="AB155" s="5">
        <f t="shared" si="25"/>
        <v>1.7</v>
      </c>
      <c r="AC155" s="5">
        <f t="shared" si="25"/>
        <v>1.45</v>
      </c>
      <c r="AD155" s="5">
        <f t="shared" si="25"/>
        <v>1.41</v>
      </c>
      <c r="AE155" s="5">
        <f t="shared" si="25"/>
        <v>1.25</v>
      </c>
      <c r="AF155" s="5">
        <f t="shared" si="25"/>
        <v>1.2</v>
      </c>
      <c r="AG155" s="5">
        <f t="shared" si="25"/>
        <v>1.17</v>
      </c>
      <c r="AH155" s="5">
        <f t="shared" si="27"/>
        <v>1.04</v>
      </c>
      <c r="AI155" s="5">
        <f t="shared" si="27"/>
        <v>0.96</v>
      </c>
      <c r="AJ155" s="5">
        <f t="shared" si="27"/>
        <v>0.93</v>
      </c>
    </row>
    <row r="156" spans="1:36">
      <c r="A156" t="str">
        <f>"primary_archetype_"&amp;TEXT(ROUND(Table213[[#This Row],[2016]],1),"0.0")</f>
        <v>primary_archetype_14.9</v>
      </c>
      <c r="B156" s="5">
        <f t="shared" si="24"/>
        <v>14.9</v>
      </c>
      <c r="C156" s="5">
        <f t="shared" si="26"/>
        <v>14.9</v>
      </c>
      <c r="D156" s="5">
        <f t="shared" si="26"/>
        <v>14.9</v>
      </c>
      <c r="E156" s="5">
        <f t="shared" si="26"/>
        <v>14.63</v>
      </c>
      <c r="F156" s="5">
        <f t="shared" si="26"/>
        <v>13.96</v>
      </c>
      <c r="G156" s="5">
        <f t="shared" si="26"/>
        <v>14.06</v>
      </c>
      <c r="H156" s="5">
        <f t="shared" si="26"/>
        <v>13.77</v>
      </c>
      <c r="I156" s="5">
        <f t="shared" si="26"/>
        <v>13.21</v>
      </c>
      <c r="J156" s="5">
        <f t="shared" si="26"/>
        <v>12.9</v>
      </c>
      <c r="K156" s="5">
        <f t="shared" si="26"/>
        <v>12.58</v>
      </c>
      <c r="L156" s="5">
        <f t="shared" si="26"/>
        <v>12.07</v>
      </c>
      <c r="M156" s="5">
        <f t="shared" si="26"/>
        <v>12.01</v>
      </c>
      <c r="N156" s="5">
        <f t="shared" si="26"/>
        <v>11.59</v>
      </c>
      <c r="O156" s="5">
        <f t="shared" si="26"/>
        <v>11.16</v>
      </c>
      <c r="P156" s="5">
        <f t="shared" si="26"/>
        <v>10.65</v>
      </c>
      <c r="Q156" s="5">
        <f t="shared" si="26"/>
        <v>9.16</v>
      </c>
      <c r="R156" s="5">
        <f t="shared" ref="R156:AG171" si="28">MROUND((($B156-$AH$2)*((R$2-$AH$2)/($B$2-$AH$2)))+$AH$2,0.01)</f>
        <v>7.14</v>
      </c>
      <c r="S156" s="5">
        <f t="shared" si="28"/>
        <v>6.5</v>
      </c>
      <c r="T156" s="5">
        <f t="shared" si="28"/>
        <v>5.11</v>
      </c>
      <c r="U156" s="5">
        <f t="shared" si="28"/>
        <v>3.7</v>
      </c>
      <c r="V156" s="5">
        <f t="shared" si="28"/>
        <v>3.49</v>
      </c>
      <c r="W156" s="5">
        <f t="shared" si="28"/>
        <v>2.88</v>
      </c>
      <c r="X156" s="5">
        <f t="shared" si="28"/>
        <v>2.57</v>
      </c>
      <c r="Y156" s="5">
        <f t="shared" si="28"/>
        <v>2.24</v>
      </c>
      <c r="Z156" s="5">
        <f t="shared" si="28"/>
        <v>2.19</v>
      </c>
      <c r="AA156" s="5">
        <f t="shared" si="28"/>
        <v>1.99</v>
      </c>
      <c r="AB156" s="5">
        <f t="shared" si="28"/>
        <v>1.69</v>
      </c>
      <c r="AC156" s="5">
        <f t="shared" si="28"/>
        <v>1.45</v>
      </c>
      <c r="AD156" s="5">
        <f t="shared" si="28"/>
        <v>1.41</v>
      </c>
      <c r="AE156" s="5">
        <f t="shared" si="28"/>
        <v>1.24</v>
      </c>
      <c r="AF156" s="5">
        <f t="shared" si="28"/>
        <v>1.2</v>
      </c>
      <c r="AG156" s="5">
        <f t="shared" si="28"/>
        <v>1.16</v>
      </c>
      <c r="AH156" s="5">
        <f t="shared" si="27"/>
        <v>1.04</v>
      </c>
      <c r="AI156" s="5">
        <f t="shared" si="27"/>
        <v>0.96</v>
      </c>
      <c r="AJ156" s="5">
        <f t="shared" si="27"/>
        <v>0.93</v>
      </c>
    </row>
    <row r="157" spans="1:36">
      <c r="A157" t="str">
        <f>"primary_archetype_"&amp;TEXT(ROUND(Table213[[#This Row],[2016]],1),"0.0")</f>
        <v>primary_archetype_14.8</v>
      </c>
      <c r="B157" s="5">
        <f t="shared" si="24"/>
        <v>14.8</v>
      </c>
      <c r="C157" s="5">
        <f t="shared" ref="C157:R172" si="29">MROUND((($B157-$AH$2)*((C$2-$AH$2)/($B$2-$AH$2)))+$AH$2,0.01)</f>
        <v>14.8</v>
      </c>
      <c r="D157" s="5">
        <f t="shared" si="29"/>
        <v>14.8</v>
      </c>
      <c r="E157" s="5">
        <f t="shared" si="29"/>
        <v>14.53</v>
      </c>
      <c r="F157" s="5">
        <f t="shared" si="29"/>
        <v>13.87</v>
      </c>
      <c r="G157" s="5">
        <f t="shared" si="29"/>
        <v>13.96</v>
      </c>
      <c r="H157" s="5">
        <f t="shared" si="29"/>
        <v>13.68</v>
      </c>
      <c r="I157" s="5">
        <f t="shared" si="29"/>
        <v>13.12</v>
      </c>
      <c r="J157" s="5">
        <f t="shared" si="29"/>
        <v>12.81</v>
      </c>
      <c r="K157" s="5">
        <f t="shared" si="29"/>
        <v>12.49</v>
      </c>
      <c r="L157" s="5">
        <f t="shared" si="29"/>
        <v>11.99</v>
      </c>
      <c r="M157" s="5">
        <f t="shared" si="29"/>
        <v>11.93</v>
      </c>
      <c r="N157" s="5">
        <f t="shared" si="29"/>
        <v>11.52</v>
      </c>
      <c r="O157" s="5">
        <f t="shared" si="29"/>
        <v>11.09</v>
      </c>
      <c r="P157" s="5">
        <f t="shared" si="29"/>
        <v>10.58</v>
      </c>
      <c r="Q157" s="5">
        <f t="shared" si="29"/>
        <v>9.1</v>
      </c>
      <c r="R157" s="5">
        <f t="shared" si="29"/>
        <v>7.1</v>
      </c>
      <c r="S157" s="5">
        <f t="shared" si="28"/>
        <v>6.46</v>
      </c>
      <c r="T157" s="5">
        <f t="shared" si="28"/>
        <v>5.08</v>
      </c>
      <c r="U157" s="5">
        <f t="shared" si="28"/>
        <v>3.68</v>
      </c>
      <c r="V157" s="5">
        <f t="shared" si="28"/>
        <v>3.48</v>
      </c>
      <c r="W157" s="5">
        <f t="shared" si="28"/>
        <v>2.87</v>
      </c>
      <c r="X157" s="5">
        <f t="shared" si="28"/>
        <v>2.55</v>
      </c>
      <c r="Y157" s="5">
        <f t="shared" si="28"/>
        <v>2.23</v>
      </c>
      <c r="Z157" s="5">
        <f t="shared" si="28"/>
        <v>2.18</v>
      </c>
      <c r="AA157" s="5">
        <f t="shared" si="28"/>
        <v>1.98</v>
      </c>
      <c r="AB157" s="5">
        <f t="shared" si="28"/>
        <v>1.69</v>
      </c>
      <c r="AC157" s="5">
        <f t="shared" si="28"/>
        <v>1.45</v>
      </c>
      <c r="AD157" s="5">
        <f t="shared" si="28"/>
        <v>1.41</v>
      </c>
      <c r="AE157" s="5">
        <f t="shared" si="28"/>
        <v>1.24</v>
      </c>
      <c r="AF157" s="5">
        <f t="shared" si="28"/>
        <v>1.2</v>
      </c>
      <c r="AG157" s="5">
        <f t="shared" si="28"/>
        <v>1.16</v>
      </c>
      <c r="AH157" s="5">
        <f t="shared" si="27"/>
        <v>1.04</v>
      </c>
      <c r="AI157" s="5">
        <f t="shared" si="27"/>
        <v>0.96</v>
      </c>
      <c r="AJ157" s="5">
        <f t="shared" si="27"/>
        <v>0.93</v>
      </c>
    </row>
    <row r="158" spans="1:36">
      <c r="A158" t="str">
        <f>"primary_archetype_"&amp;TEXT(ROUND(Table213[[#This Row],[2016]],1),"0.0")</f>
        <v>primary_archetype_14.7</v>
      </c>
      <c r="B158" s="5">
        <f t="shared" si="24"/>
        <v>14.7</v>
      </c>
      <c r="C158" s="5">
        <f t="shared" si="29"/>
        <v>14.7</v>
      </c>
      <c r="D158" s="5">
        <f t="shared" si="29"/>
        <v>14.7</v>
      </c>
      <c r="E158" s="5">
        <f t="shared" si="29"/>
        <v>14.43</v>
      </c>
      <c r="F158" s="5">
        <f t="shared" si="29"/>
        <v>13.78</v>
      </c>
      <c r="G158" s="5">
        <f t="shared" si="29"/>
        <v>13.87</v>
      </c>
      <c r="H158" s="5">
        <f t="shared" si="29"/>
        <v>13.58</v>
      </c>
      <c r="I158" s="5">
        <f t="shared" si="29"/>
        <v>13.03</v>
      </c>
      <c r="J158" s="5">
        <f t="shared" si="29"/>
        <v>12.73</v>
      </c>
      <c r="K158" s="5">
        <f t="shared" si="29"/>
        <v>12.41</v>
      </c>
      <c r="L158" s="5">
        <f t="shared" si="29"/>
        <v>11.91</v>
      </c>
      <c r="M158" s="5">
        <f t="shared" si="29"/>
        <v>11.85</v>
      </c>
      <c r="N158" s="5">
        <f t="shared" si="29"/>
        <v>11.44</v>
      </c>
      <c r="O158" s="5">
        <f t="shared" si="29"/>
        <v>11.01</v>
      </c>
      <c r="P158" s="5">
        <f t="shared" si="29"/>
        <v>10.51</v>
      </c>
      <c r="Q158" s="5">
        <f t="shared" si="29"/>
        <v>9.04</v>
      </c>
      <c r="R158" s="5">
        <f t="shared" si="29"/>
        <v>7.06</v>
      </c>
      <c r="S158" s="5">
        <f t="shared" si="28"/>
        <v>6.42</v>
      </c>
      <c r="T158" s="5">
        <f t="shared" si="28"/>
        <v>5.05</v>
      </c>
      <c r="U158" s="5">
        <f t="shared" si="28"/>
        <v>3.66</v>
      </c>
      <c r="V158" s="5">
        <f t="shared" si="28"/>
        <v>3.46</v>
      </c>
      <c r="W158" s="5">
        <f t="shared" si="28"/>
        <v>2.85</v>
      </c>
      <c r="X158" s="5">
        <f t="shared" si="28"/>
        <v>2.54</v>
      </c>
      <c r="Y158" s="5">
        <f t="shared" si="28"/>
        <v>2.22</v>
      </c>
      <c r="Z158" s="5">
        <f t="shared" si="28"/>
        <v>2.17</v>
      </c>
      <c r="AA158" s="5">
        <f t="shared" si="28"/>
        <v>1.97</v>
      </c>
      <c r="AB158" s="5">
        <f t="shared" si="28"/>
        <v>1.68</v>
      </c>
      <c r="AC158" s="5">
        <f t="shared" si="28"/>
        <v>1.44</v>
      </c>
      <c r="AD158" s="5">
        <f t="shared" si="28"/>
        <v>1.4</v>
      </c>
      <c r="AE158" s="5">
        <f t="shared" si="28"/>
        <v>1.24</v>
      </c>
      <c r="AF158" s="5">
        <f t="shared" si="28"/>
        <v>1.2</v>
      </c>
      <c r="AG158" s="5">
        <f t="shared" si="28"/>
        <v>1.16</v>
      </c>
      <c r="AH158" s="5">
        <f t="shared" si="27"/>
        <v>1.04</v>
      </c>
      <c r="AI158" s="5">
        <f t="shared" si="27"/>
        <v>0.97</v>
      </c>
      <c r="AJ158" s="5">
        <f t="shared" si="27"/>
        <v>0.93</v>
      </c>
    </row>
    <row r="159" spans="1:36">
      <c r="A159" t="str">
        <f>"primary_archetype_"&amp;TEXT(ROUND(Table213[[#This Row],[2016]],1),"0.0")</f>
        <v>primary_archetype_14.6</v>
      </c>
      <c r="B159" s="5">
        <f t="shared" si="24"/>
        <v>14.6</v>
      </c>
      <c r="C159" s="5">
        <f t="shared" si="29"/>
        <v>14.6</v>
      </c>
      <c r="D159" s="5">
        <f t="shared" si="29"/>
        <v>14.6</v>
      </c>
      <c r="E159" s="5">
        <f t="shared" si="29"/>
        <v>14.33</v>
      </c>
      <c r="F159" s="5">
        <f t="shared" si="29"/>
        <v>13.68</v>
      </c>
      <c r="G159" s="5">
        <f t="shared" si="29"/>
        <v>13.77</v>
      </c>
      <c r="H159" s="5">
        <f t="shared" si="29"/>
        <v>13.49</v>
      </c>
      <c r="I159" s="5">
        <f t="shared" si="29"/>
        <v>12.95</v>
      </c>
      <c r="J159" s="5">
        <f t="shared" si="29"/>
        <v>12.64</v>
      </c>
      <c r="K159" s="5">
        <f t="shared" si="29"/>
        <v>12.33</v>
      </c>
      <c r="L159" s="5">
        <f t="shared" si="29"/>
        <v>11.83</v>
      </c>
      <c r="M159" s="5">
        <f t="shared" si="29"/>
        <v>11.77</v>
      </c>
      <c r="N159" s="5">
        <f t="shared" si="29"/>
        <v>11.36</v>
      </c>
      <c r="O159" s="5">
        <f t="shared" si="29"/>
        <v>10.94</v>
      </c>
      <c r="P159" s="5">
        <f t="shared" si="29"/>
        <v>10.44</v>
      </c>
      <c r="Q159" s="5">
        <f t="shared" si="29"/>
        <v>8.98</v>
      </c>
      <c r="R159" s="5">
        <f t="shared" si="29"/>
        <v>7.01</v>
      </c>
      <c r="S159" s="5">
        <f t="shared" si="28"/>
        <v>6.38</v>
      </c>
      <c r="T159" s="5">
        <f t="shared" si="28"/>
        <v>5.02</v>
      </c>
      <c r="U159" s="5">
        <f t="shared" si="28"/>
        <v>3.64</v>
      </c>
      <c r="V159" s="5">
        <f t="shared" si="28"/>
        <v>3.44</v>
      </c>
      <c r="W159" s="5">
        <f t="shared" si="28"/>
        <v>2.84</v>
      </c>
      <c r="X159" s="5">
        <f t="shared" si="28"/>
        <v>2.53</v>
      </c>
      <c r="Y159" s="5">
        <f t="shared" si="28"/>
        <v>2.21</v>
      </c>
      <c r="Z159" s="5">
        <f t="shared" si="28"/>
        <v>2.16</v>
      </c>
      <c r="AA159" s="5">
        <f t="shared" si="28"/>
        <v>1.97</v>
      </c>
      <c r="AB159" s="5">
        <f t="shared" si="28"/>
        <v>1.68</v>
      </c>
      <c r="AC159" s="5">
        <f t="shared" si="28"/>
        <v>1.44</v>
      </c>
      <c r="AD159" s="5">
        <f t="shared" si="28"/>
        <v>1.4</v>
      </c>
      <c r="AE159" s="5">
        <f t="shared" si="28"/>
        <v>1.24</v>
      </c>
      <c r="AF159" s="5">
        <f t="shared" si="28"/>
        <v>1.2</v>
      </c>
      <c r="AG159" s="5">
        <f t="shared" si="28"/>
        <v>1.16</v>
      </c>
      <c r="AH159" s="5">
        <f t="shared" si="27"/>
        <v>1.04</v>
      </c>
      <c r="AI159" s="5">
        <f t="shared" si="27"/>
        <v>0.97</v>
      </c>
      <c r="AJ159" s="5">
        <f t="shared" si="27"/>
        <v>0.93</v>
      </c>
    </row>
    <row r="160" spans="1:36">
      <c r="A160" t="str">
        <f>"primary_archetype_"&amp;TEXT(ROUND(Table213[[#This Row],[2016]],1),"0.0")</f>
        <v>primary_archetype_14.5</v>
      </c>
      <c r="B160" s="5">
        <f t="shared" si="24"/>
        <v>14.5</v>
      </c>
      <c r="C160" s="5">
        <f t="shared" si="29"/>
        <v>14.5</v>
      </c>
      <c r="D160" s="5">
        <f t="shared" si="29"/>
        <v>14.5</v>
      </c>
      <c r="E160" s="5">
        <f t="shared" si="29"/>
        <v>14.23</v>
      </c>
      <c r="F160" s="5">
        <f t="shared" si="29"/>
        <v>13.59</v>
      </c>
      <c r="G160" s="5">
        <f t="shared" si="29"/>
        <v>13.68</v>
      </c>
      <c r="H160" s="5">
        <f t="shared" si="29"/>
        <v>13.4</v>
      </c>
      <c r="I160" s="5">
        <f t="shared" si="29"/>
        <v>12.86</v>
      </c>
      <c r="J160" s="5">
        <f t="shared" si="29"/>
        <v>12.56</v>
      </c>
      <c r="K160" s="5">
        <f t="shared" si="29"/>
        <v>12.24</v>
      </c>
      <c r="L160" s="5">
        <f t="shared" si="29"/>
        <v>11.75</v>
      </c>
      <c r="M160" s="5">
        <f t="shared" si="29"/>
        <v>11.69</v>
      </c>
      <c r="N160" s="5">
        <f t="shared" si="29"/>
        <v>11.29</v>
      </c>
      <c r="O160" s="5">
        <f t="shared" si="29"/>
        <v>10.87</v>
      </c>
      <c r="P160" s="5">
        <f t="shared" si="29"/>
        <v>10.37</v>
      </c>
      <c r="Q160" s="5">
        <f t="shared" si="29"/>
        <v>8.92</v>
      </c>
      <c r="R160" s="5">
        <f t="shared" si="29"/>
        <v>6.97</v>
      </c>
      <c r="S160" s="5">
        <f t="shared" si="28"/>
        <v>6.34</v>
      </c>
      <c r="T160" s="5">
        <f t="shared" si="28"/>
        <v>4.99</v>
      </c>
      <c r="U160" s="5">
        <f t="shared" si="28"/>
        <v>3.62</v>
      </c>
      <c r="V160" s="5">
        <f t="shared" si="28"/>
        <v>3.42</v>
      </c>
      <c r="W160" s="5">
        <f t="shared" si="28"/>
        <v>2.83</v>
      </c>
      <c r="X160" s="5">
        <f t="shared" si="28"/>
        <v>2.52</v>
      </c>
      <c r="Y160" s="5">
        <f t="shared" si="28"/>
        <v>2.21</v>
      </c>
      <c r="Z160" s="5">
        <f t="shared" si="28"/>
        <v>2.16</v>
      </c>
      <c r="AA160" s="5">
        <f t="shared" si="28"/>
        <v>1.96</v>
      </c>
      <c r="AB160" s="5">
        <f t="shared" si="28"/>
        <v>1.67</v>
      </c>
      <c r="AC160" s="5">
        <f t="shared" si="28"/>
        <v>1.44</v>
      </c>
      <c r="AD160" s="5">
        <f t="shared" si="28"/>
        <v>1.4</v>
      </c>
      <c r="AE160" s="5">
        <f t="shared" si="28"/>
        <v>1.24</v>
      </c>
      <c r="AF160" s="5">
        <f t="shared" si="28"/>
        <v>1.19</v>
      </c>
      <c r="AG160" s="5">
        <f t="shared" si="28"/>
        <v>1.16</v>
      </c>
      <c r="AH160" s="5">
        <f t="shared" si="27"/>
        <v>1.04</v>
      </c>
      <c r="AI160" s="5">
        <f t="shared" si="27"/>
        <v>0.97</v>
      </c>
      <c r="AJ160" s="5">
        <f t="shared" si="27"/>
        <v>0.93</v>
      </c>
    </row>
    <row r="161" spans="1:36">
      <c r="A161" t="str">
        <f>"primary_archetype_"&amp;TEXT(ROUND(Table213[[#This Row],[2016]],1),"0.0")</f>
        <v>primary_archetype_14.4</v>
      </c>
      <c r="B161" s="5">
        <f t="shared" si="24"/>
        <v>14.4</v>
      </c>
      <c r="C161" s="5">
        <f t="shared" si="29"/>
        <v>14.4</v>
      </c>
      <c r="D161" s="5">
        <f t="shared" si="29"/>
        <v>14.4</v>
      </c>
      <c r="E161" s="5">
        <f t="shared" si="29"/>
        <v>14.14</v>
      </c>
      <c r="F161" s="5">
        <f t="shared" si="29"/>
        <v>13.5</v>
      </c>
      <c r="G161" s="5">
        <f t="shared" si="29"/>
        <v>13.59</v>
      </c>
      <c r="H161" s="5">
        <f t="shared" si="29"/>
        <v>13.31</v>
      </c>
      <c r="I161" s="5">
        <f t="shared" si="29"/>
        <v>12.77</v>
      </c>
      <c r="J161" s="5">
        <f t="shared" si="29"/>
        <v>12.47</v>
      </c>
      <c r="K161" s="5">
        <f t="shared" si="29"/>
        <v>12.16</v>
      </c>
      <c r="L161" s="5">
        <f t="shared" si="29"/>
        <v>11.67</v>
      </c>
      <c r="M161" s="5">
        <f t="shared" si="29"/>
        <v>11.61</v>
      </c>
      <c r="N161" s="5">
        <f t="shared" si="29"/>
        <v>11.21</v>
      </c>
      <c r="O161" s="5">
        <f t="shared" si="29"/>
        <v>10.8</v>
      </c>
      <c r="P161" s="5">
        <f t="shared" si="29"/>
        <v>10.3</v>
      </c>
      <c r="Q161" s="5">
        <f t="shared" si="29"/>
        <v>8.87</v>
      </c>
      <c r="R161" s="5">
        <f t="shared" si="29"/>
        <v>6.92</v>
      </c>
      <c r="S161" s="5">
        <f t="shared" si="28"/>
        <v>6.3</v>
      </c>
      <c r="T161" s="5">
        <f t="shared" si="28"/>
        <v>4.96</v>
      </c>
      <c r="U161" s="5">
        <f t="shared" si="28"/>
        <v>3.6</v>
      </c>
      <c r="V161" s="5">
        <f t="shared" si="28"/>
        <v>3.41</v>
      </c>
      <c r="W161" s="5">
        <f t="shared" si="28"/>
        <v>2.81</v>
      </c>
      <c r="X161" s="5">
        <f t="shared" si="28"/>
        <v>2.51</v>
      </c>
      <c r="Y161" s="5">
        <f t="shared" si="28"/>
        <v>2.2</v>
      </c>
      <c r="Z161" s="5">
        <f t="shared" si="28"/>
        <v>2.15</v>
      </c>
      <c r="AA161" s="5">
        <f t="shared" si="28"/>
        <v>1.95</v>
      </c>
      <c r="AB161" s="5">
        <f t="shared" si="28"/>
        <v>1.67</v>
      </c>
      <c r="AC161" s="5">
        <f t="shared" si="28"/>
        <v>1.43</v>
      </c>
      <c r="AD161" s="5">
        <f t="shared" si="28"/>
        <v>1.39</v>
      </c>
      <c r="AE161" s="5">
        <f t="shared" si="28"/>
        <v>1.24</v>
      </c>
      <c r="AF161" s="5">
        <f t="shared" si="28"/>
        <v>1.19</v>
      </c>
      <c r="AG161" s="5">
        <f t="shared" si="28"/>
        <v>1.16</v>
      </c>
      <c r="AH161" s="5">
        <f t="shared" si="27"/>
        <v>1.04</v>
      </c>
      <c r="AI161" s="5">
        <f t="shared" si="27"/>
        <v>0.97</v>
      </c>
      <c r="AJ161" s="5">
        <f t="shared" si="27"/>
        <v>0.93</v>
      </c>
    </row>
    <row r="162" spans="1:36">
      <c r="A162" t="str">
        <f>"primary_archetype_"&amp;TEXT(ROUND(Table213[[#This Row],[2016]],1),"0.0")</f>
        <v>primary_archetype_14.3</v>
      </c>
      <c r="B162" s="5">
        <f t="shared" si="24"/>
        <v>14.3</v>
      </c>
      <c r="C162" s="5">
        <f t="shared" si="29"/>
        <v>14.3</v>
      </c>
      <c r="D162" s="5">
        <f t="shared" si="29"/>
        <v>14.3</v>
      </c>
      <c r="E162" s="5">
        <f t="shared" si="29"/>
        <v>14.04</v>
      </c>
      <c r="F162" s="5">
        <f t="shared" si="29"/>
        <v>13.4</v>
      </c>
      <c r="G162" s="5">
        <f t="shared" si="29"/>
        <v>13.49</v>
      </c>
      <c r="H162" s="5">
        <f t="shared" si="29"/>
        <v>13.22</v>
      </c>
      <c r="I162" s="5">
        <f t="shared" si="29"/>
        <v>12.68</v>
      </c>
      <c r="J162" s="5">
        <f t="shared" si="29"/>
        <v>12.38</v>
      </c>
      <c r="K162" s="5">
        <f t="shared" si="29"/>
        <v>12.08</v>
      </c>
      <c r="L162" s="5">
        <f t="shared" si="29"/>
        <v>11.59</v>
      </c>
      <c r="M162" s="5">
        <f t="shared" si="29"/>
        <v>11.53</v>
      </c>
      <c r="N162" s="5">
        <f t="shared" si="29"/>
        <v>11.13</v>
      </c>
      <c r="O162" s="5">
        <f t="shared" si="29"/>
        <v>10.72</v>
      </c>
      <c r="P162" s="5">
        <f t="shared" si="29"/>
        <v>10.24</v>
      </c>
      <c r="Q162" s="5">
        <f t="shared" si="29"/>
        <v>8.81</v>
      </c>
      <c r="R162" s="5">
        <f t="shared" si="29"/>
        <v>6.88</v>
      </c>
      <c r="S162" s="5">
        <f t="shared" si="28"/>
        <v>6.27</v>
      </c>
      <c r="T162" s="5">
        <f t="shared" si="28"/>
        <v>4.93</v>
      </c>
      <c r="U162" s="5">
        <f t="shared" si="28"/>
        <v>3.58</v>
      </c>
      <c r="V162" s="5">
        <f t="shared" si="28"/>
        <v>3.39</v>
      </c>
      <c r="W162" s="5">
        <f t="shared" si="28"/>
        <v>2.8</v>
      </c>
      <c r="X162" s="5">
        <f t="shared" si="28"/>
        <v>2.5</v>
      </c>
      <c r="Y162" s="5">
        <f t="shared" si="28"/>
        <v>2.19</v>
      </c>
      <c r="Z162" s="5">
        <f t="shared" si="28"/>
        <v>2.14</v>
      </c>
      <c r="AA162" s="5">
        <f t="shared" si="28"/>
        <v>1.95</v>
      </c>
      <c r="AB162" s="5">
        <f t="shared" si="28"/>
        <v>1.66</v>
      </c>
      <c r="AC162" s="5">
        <f t="shared" si="28"/>
        <v>1.43</v>
      </c>
      <c r="AD162" s="5">
        <f t="shared" si="28"/>
        <v>1.39</v>
      </c>
      <c r="AE162" s="5">
        <f t="shared" si="28"/>
        <v>1.24</v>
      </c>
      <c r="AF162" s="5">
        <f t="shared" si="28"/>
        <v>1.19</v>
      </c>
      <c r="AG162" s="5">
        <f t="shared" si="28"/>
        <v>1.16</v>
      </c>
      <c r="AH162" s="5">
        <f t="shared" si="27"/>
        <v>1.04</v>
      </c>
      <c r="AI162" s="5">
        <f t="shared" si="27"/>
        <v>0.97</v>
      </c>
      <c r="AJ162" s="5">
        <f t="shared" si="27"/>
        <v>0.93</v>
      </c>
    </row>
    <row r="163" spans="1:36">
      <c r="A163" t="str">
        <f>"primary_archetype_"&amp;TEXT(ROUND(Table213[[#This Row],[2016]],1),"0.0")</f>
        <v>primary_archetype_14.2</v>
      </c>
      <c r="B163" s="5">
        <f t="shared" si="24"/>
        <v>14.2</v>
      </c>
      <c r="C163" s="5">
        <f t="shared" si="29"/>
        <v>14.2</v>
      </c>
      <c r="D163" s="5">
        <f t="shared" si="29"/>
        <v>14.2</v>
      </c>
      <c r="E163" s="5">
        <f t="shared" si="29"/>
        <v>13.94</v>
      </c>
      <c r="F163" s="5">
        <f t="shared" si="29"/>
        <v>13.31</v>
      </c>
      <c r="G163" s="5">
        <f t="shared" si="29"/>
        <v>13.4</v>
      </c>
      <c r="H163" s="5">
        <f t="shared" si="29"/>
        <v>13.12</v>
      </c>
      <c r="I163" s="5">
        <f t="shared" si="29"/>
        <v>12.6</v>
      </c>
      <c r="J163" s="5">
        <f t="shared" si="29"/>
        <v>12.3</v>
      </c>
      <c r="K163" s="5">
        <f t="shared" si="29"/>
        <v>11.99</v>
      </c>
      <c r="L163" s="5">
        <f t="shared" si="29"/>
        <v>11.51</v>
      </c>
      <c r="M163" s="5">
        <f t="shared" si="29"/>
        <v>11.45</v>
      </c>
      <c r="N163" s="5">
        <f t="shared" si="29"/>
        <v>11.06</v>
      </c>
      <c r="O163" s="5">
        <f t="shared" si="29"/>
        <v>10.65</v>
      </c>
      <c r="P163" s="5">
        <f t="shared" si="29"/>
        <v>10.17</v>
      </c>
      <c r="Q163" s="5">
        <f t="shared" si="29"/>
        <v>8.75</v>
      </c>
      <c r="R163" s="5">
        <f t="shared" si="29"/>
        <v>6.84</v>
      </c>
      <c r="S163" s="5">
        <f t="shared" si="28"/>
        <v>6.23</v>
      </c>
      <c r="T163" s="5">
        <f t="shared" si="28"/>
        <v>4.9</v>
      </c>
      <c r="U163" s="5">
        <f t="shared" si="28"/>
        <v>3.56</v>
      </c>
      <c r="V163" s="5">
        <f t="shared" si="28"/>
        <v>3.37</v>
      </c>
      <c r="W163" s="5">
        <f t="shared" si="28"/>
        <v>2.79</v>
      </c>
      <c r="X163" s="5">
        <f t="shared" si="28"/>
        <v>2.49</v>
      </c>
      <c r="Y163" s="5">
        <f t="shared" si="28"/>
        <v>2.18</v>
      </c>
      <c r="Z163" s="5">
        <f t="shared" si="28"/>
        <v>2.13</v>
      </c>
      <c r="AA163" s="5">
        <f t="shared" si="28"/>
        <v>1.94</v>
      </c>
      <c r="AB163" s="5">
        <f t="shared" si="28"/>
        <v>1.66</v>
      </c>
      <c r="AC163" s="5">
        <f t="shared" si="28"/>
        <v>1.43</v>
      </c>
      <c r="AD163" s="5">
        <f t="shared" si="28"/>
        <v>1.39</v>
      </c>
      <c r="AE163" s="5">
        <f t="shared" si="28"/>
        <v>1.23</v>
      </c>
      <c r="AF163" s="5">
        <f t="shared" si="28"/>
        <v>1.19</v>
      </c>
      <c r="AG163" s="5">
        <f t="shared" si="28"/>
        <v>1.16</v>
      </c>
      <c r="AH163" s="5">
        <f t="shared" si="27"/>
        <v>1.04</v>
      </c>
      <c r="AI163" s="5">
        <f t="shared" si="27"/>
        <v>0.97</v>
      </c>
      <c r="AJ163" s="5">
        <f t="shared" si="27"/>
        <v>0.94</v>
      </c>
    </row>
    <row r="164" spans="1:36">
      <c r="A164" t="str">
        <f>"primary_archetype_"&amp;TEXT(ROUND(Table213[[#This Row],[2016]],1),"0.0")</f>
        <v>primary_archetype_14.1</v>
      </c>
      <c r="B164" s="5">
        <f t="shared" si="24"/>
        <v>14.1</v>
      </c>
      <c r="C164" s="5">
        <f t="shared" si="29"/>
        <v>14.1</v>
      </c>
      <c r="D164" s="5">
        <f t="shared" si="29"/>
        <v>14.1</v>
      </c>
      <c r="E164" s="5">
        <f t="shared" si="29"/>
        <v>13.84</v>
      </c>
      <c r="F164" s="5">
        <f t="shared" si="29"/>
        <v>13.22</v>
      </c>
      <c r="G164" s="5">
        <f t="shared" si="29"/>
        <v>13.3</v>
      </c>
      <c r="H164" s="5">
        <f t="shared" si="29"/>
        <v>13.03</v>
      </c>
      <c r="I164" s="5">
        <f t="shared" si="29"/>
        <v>12.51</v>
      </c>
      <c r="J164" s="5">
        <f t="shared" si="29"/>
        <v>12.21</v>
      </c>
      <c r="K164" s="5">
        <f t="shared" si="29"/>
        <v>11.91</v>
      </c>
      <c r="L164" s="5">
        <f t="shared" si="29"/>
        <v>11.43</v>
      </c>
      <c r="M164" s="5">
        <f t="shared" si="29"/>
        <v>11.37</v>
      </c>
      <c r="N164" s="5">
        <f t="shared" si="29"/>
        <v>10.98</v>
      </c>
      <c r="O164" s="5">
        <f t="shared" si="29"/>
        <v>10.58</v>
      </c>
      <c r="P164" s="5">
        <f t="shared" si="29"/>
        <v>10.1</v>
      </c>
      <c r="Q164" s="5">
        <f t="shared" si="29"/>
        <v>8.69</v>
      </c>
      <c r="R164" s="5">
        <f t="shared" si="29"/>
        <v>6.79</v>
      </c>
      <c r="S164" s="5">
        <f t="shared" si="28"/>
        <v>6.19</v>
      </c>
      <c r="T164" s="5">
        <f t="shared" si="28"/>
        <v>4.87</v>
      </c>
      <c r="U164" s="5">
        <f t="shared" si="28"/>
        <v>3.55</v>
      </c>
      <c r="V164" s="5">
        <f t="shared" si="28"/>
        <v>3.35</v>
      </c>
      <c r="W164" s="5">
        <f t="shared" si="28"/>
        <v>2.77</v>
      </c>
      <c r="X164" s="5">
        <f t="shared" si="28"/>
        <v>2.48</v>
      </c>
      <c r="Y164" s="5">
        <f t="shared" si="28"/>
        <v>2.17</v>
      </c>
      <c r="Z164" s="5">
        <f t="shared" si="28"/>
        <v>2.12</v>
      </c>
      <c r="AA164" s="5">
        <f t="shared" si="28"/>
        <v>1.93</v>
      </c>
      <c r="AB164" s="5">
        <f t="shared" si="28"/>
        <v>1.65</v>
      </c>
      <c r="AC164" s="5">
        <f t="shared" si="28"/>
        <v>1.42</v>
      </c>
      <c r="AD164" s="5">
        <f t="shared" si="28"/>
        <v>1.39</v>
      </c>
      <c r="AE164" s="5">
        <f t="shared" si="28"/>
        <v>1.23</v>
      </c>
      <c r="AF164" s="5">
        <f t="shared" si="28"/>
        <v>1.19</v>
      </c>
      <c r="AG164" s="5">
        <f t="shared" si="28"/>
        <v>1.16</v>
      </c>
      <c r="AH164" s="5">
        <f t="shared" si="27"/>
        <v>1.04</v>
      </c>
      <c r="AI164" s="5">
        <f t="shared" si="27"/>
        <v>0.97</v>
      </c>
      <c r="AJ164" s="5">
        <f t="shared" si="27"/>
        <v>0.94</v>
      </c>
    </row>
    <row r="165" spans="1:36">
      <c r="A165" t="str">
        <f>"primary_archetype_"&amp;TEXT(ROUND(Table213[[#This Row],[2016]],1),"0.0")</f>
        <v>primary_archetype_14.0</v>
      </c>
      <c r="B165" s="5">
        <f t="shared" si="24"/>
        <v>14</v>
      </c>
      <c r="C165" s="5">
        <f t="shared" si="29"/>
        <v>14</v>
      </c>
      <c r="D165" s="5">
        <f t="shared" si="29"/>
        <v>14</v>
      </c>
      <c r="E165" s="5">
        <f t="shared" si="29"/>
        <v>13.74</v>
      </c>
      <c r="F165" s="5">
        <f t="shared" si="29"/>
        <v>13.12</v>
      </c>
      <c r="G165" s="5">
        <f t="shared" si="29"/>
        <v>13.21</v>
      </c>
      <c r="H165" s="5">
        <f t="shared" si="29"/>
        <v>12.94</v>
      </c>
      <c r="I165" s="5">
        <f t="shared" si="29"/>
        <v>12.42</v>
      </c>
      <c r="J165" s="5">
        <f t="shared" si="29"/>
        <v>12.13</v>
      </c>
      <c r="K165" s="5">
        <f t="shared" si="29"/>
        <v>11.83</v>
      </c>
      <c r="L165" s="5">
        <f t="shared" si="29"/>
        <v>11.35</v>
      </c>
      <c r="M165" s="5">
        <f t="shared" si="29"/>
        <v>11.3</v>
      </c>
      <c r="N165" s="5">
        <f t="shared" si="29"/>
        <v>10.91</v>
      </c>
      <c r="O165" s="5">
        <f t="shared" si="29"/>
        <v>10.5</v>
      </c>
      <c r="P165" s="5">
        <f t="shared" si="29"/>
        <v>10.03</v>
      </c>
      <c r="Q165" s="5">
        <f t="shared" si="29"/>
        <v>8.63</v>
      </c>
      <c r="R165" s="5">
        <f t="shared" si="29"/>
        <v>6.75</v>
      </c>
      <c r="S165" s="5">
        <f t="shared" si="28"/>
        <v>6.15</v>
      </c>
      <c r="T165" s="5">
        <f t="shared" si="28"/>
        <v>4.84</v>
      </c>
      <c r="U165" s="5">
        <f t="shared" si="28"/>
        <v>3.53</v>
      </c>
      <c r="V165" s="5">
        <f t="shared" si="28"/>
        <v>3.34</v>
      </c>
      <c r="W165" s="5">
        <f t="shared" si="28"/>
        <v>2.76</v>
      </c>
      <c r="X165" s="5">
        <f t="shared" si="28"/>
        <v>2.47</v>
      </c>
      <c r="Y165" s="5">
        <f t="shared" si="28"/>
        <v>2.16</v>
      </c>
      <c r="Z165" s="5">
        <f t="shared" si="28"/>
        <v>2.11</v>
      </c>
      <c r="AA165" s="5">
        <f t="shared" si="28"/>
        <v>1.93</v>
      </c>
      <c r="AB165" s="5">
        <f t="shared" si="28"/>
        <v>1.65</v>
      </c>
      <c r="AC165" s="5">
        <f t="shared" si="28"/>
        <v>1.42</v>
      </c>
      <c r="AD165" s="5">
        <f t="shared" si="28"/>
        <v>1.38</v>
      </c>
      <c r="AE165" s="5">
        <f t="shared" si="28"/>
        <v>1.23</v>
      </c>
      <c r="AF165" s="5">
        <f t="shared" si="28"/>
        <v>1.19</v>
      </c>
      <c r="AG165" s="5">
        <f t="shared" si="28"/>
        <v>1.16</v>
      </c>
      <c r="AH165" s="5">
        <f t="shared" si="27"/>
        <v>1.04</v>
      </c>
      <c r="AI165" s="5">
        <f t="shared" si="27"/>
        <v>0.97</v>
      </c>
      <c r="AJ165" s="5">
        <f t="shared" si="27"/>
        <v>0.94</v>
      </c>
    </row>
    <row r="166" spans="1:36">
      <c r="A166" t="str">
        <f>"primary_archetype_"&amp;TEXT(ROUND(Table213[[#This Row],[2016]],1),"0.0")</f>
        <v>primary_archetype_13.9</v>
      </c>
      <c r="B166" s="5">
        <f t="shared" si="24"/>
        <v>13.9</v>
      </c>
      <c r="C166" s="5">
        <f t="shared" si="29"/>
        <v>13.9</v>
      </c>
      <c r="D166" s="5">
        <f t="shared" si="29"/>
        <v>13.9</v>
      </c>
      <c r="E166" s="5">
        <f t="shared" si="29"/>
        <v>13.65</v>
      </c>
      <c r="F166" s="5">
        <f t="shared" si="29"/>
        <v>13.03</v>
      </c>
      <c r="G166" s="5">
        <f t="shared" si="29"/>
        <v>13.12</v>
      </c>
      <c r="H166" s="5">
        <f t="shared" si="29"/>
        <v>12.85</v>
      </c>
      <c r="I166" s="5">
        <f t="shared" si="29"/>
        <v>12.33</v>
      </c>
      <c r="J166" s="5">
        <f t="shared" si="29"/>
        <v>12.04</v>
      </c>
      <c r="K166" s="5">
        <f t="shared" si="29"/>
        <v>11.74</v>
      </c>
      <c r="L166" s="5">
        <f t="shared" si="29"/>
        <v>11.27</v>
      </c>
      <c r="M166" s="5">
        <f t="shared" si="29"/>
        <v>11.22</v>
      </c>
      <c r="N166" s="5">
        <f t="shared" si="29"/>
        <v>10.83</v>
      </c>
      <c r="O166" s="5">
        <f t="shared" si="29"/>
        <v>10.43</v>
      </c>
      <c r="P166" s="5">
        <f t="shared" si="29"/>
        <v>9.96</v>
      </c>
      <c r="Q166" s="5">
        <f t="shared" si="29"/>
        <v>8.57</v>
      </c>
      <c r="R166" s="5">
        <f t="shared" si="29"/>
        <v>6.7</v>
      </c>
      <c r="S166" s="5">
        <f t="shared" si="28"/>
        <v>6.11</v>
      </c>
      <c r="T166" s="5">
        <f t="shared" si="28"/>
        <v>4.81</v>
      </c>
      <c r="U166" s="5">
        <f t="shared" si="28"/>
        <v>3.51</v>
      </c>
      <c r="V166" s="5">
        <f t="shared" si="28"/>
        <v>3.32</v>
      </c>
      <c r="W166" s="5">
        <f t="shared" si="28"/>
        <v>2.75</v>
      </c>
      <c r="X166" s="5">
        <f t="shared" si="28"/>
        <v>2.46</v>
      </c>
      <c r="Y166" s="5">
        <f t="shared" si="28"/>
        <v>2.15</v>
      </c>
      <c r="Z166" s="5">
        <f t="shared" si="28"/>
        <v>2.11</v>
      </c>
      <c r="AA166" s="5">
        <f t="shared" si="28"/>
        <v>1.92</v>
      </c>
      <c r="AB166" s="5">
        <f t="shared" si="28"/>
        <v>1.64</v>
      </c>
      <c r="AC166" s="5">
        <f t="shared" si="28"/>
        <v>1.42</v>
      </c>
      <c r="AD166" s="5">
        <f t="shared" si="28"/>
        <v>1.38</v>
      </c>
      <c r="AE166" s="5">
        <f t="shared" si="28"/>
        <v>1.23</v>
      </c>
      <c r="AF166" s="5">
        <f t="shared" si="28"/>
        <v>1.19</v>
      </c>
      <c r="AG166" s="5">
        <f t="shared" si="28"/>
        <v>1.16</v>
      </c>
      <c r="AH166" s="5">
        <f t="shared" si="27"/>
        <v>1.04</v>
      </c>
      <c r="AI166" s="5">
        <f t="shared" si="27"/>
        <v>0.97</v>
      </c>
      <c r="AJ166" s="5">
        <f t="shared" si="27"/>
        <v>0.94</v>
      </c>
    </row>
    <row r="167" spans="1:36">
      <c r="A167" t="str">
        <f>"primary_archetype_"&amp;TEXT(ROUND(Table213[[#This Row],[2016]],1),"0.0")</f>
        <v>primary_archetype_13.8</v>
      </c>
      <c r="B167" s="5">
        <f t="shared" si="24"/>
        <v>13.8</v>
      </c>
      <c r="C167" s="5">
        <f t="shared" si="29"/>
        <v>13.8</v>
      </c>
      <c r="D167" s="5">
        <f t="shared" si="29"/>
        <v>13.8</v>
      </c>
      <c r="E167" s="5">
        <f t="shared" si="29"/>
        <v>13.55</v>
      </c>
      <c r="F167" s="5">
        <f t="shared" si="29"/>
        <v>12.94</v>
      </c>
      <c r="G167" s="5">
        <f t="shared" si="29"/>
        <v>13.02</v>
      </c>
      <c r="H167" s="5">
        <f t="shared" si="29"/>
        <v>12.76</v>
      </c>
      <c r="I167" s="5">
        <f t="shared" si="29"/>
        <v>12.24</v>
      </c>
      <c r="J167" s="5">
        <f t="shared" si="29"/>
        <v>11.96</v>
      </c>
      <c r="K167" s="5">
        <f t="shared" si="29"/>
        <v>11.66</v>
      </c>
      <c r="L167" s="5">
        <f t="shared" si="29"/>
        <v>11.19</v>
      </c>
      <c r="M167" s="5">
        <f t="shared" si="29"/>
        <v>11.14</v>
      </c>
      <c r="N167" s="5">
        <f t="shared" si="29"/>
        <v>10.75</v>
      </c>
      <c r="O167" s="5">
        <f t="shared" si="29"/>
        <v>10.36</v>
      </c>
      <c r="P167" s="5">
        <f t="shared" si="29"/>
        <v>9.89</v>
      </c>
      <c r="Q167" s="5">
        <f t="shared" si="29"/>
        <v>8.51</v>
      </c>
      <c r="R167" s="5">
        <f t="shared" si="29"/>
        <v>6.66</v>
      </c>
      <c r="S167" s="5">
        <f t="shared" si="28"/>
        <v>6.07</v>
      </c>
      <c r="T167" s="5">
        <f t="shared" si="28"/>
        <v>4.78</v>
      </c>
      <c r="U167" s="5">
        <f t="shared" si="28"/>
        <v>3.49</v>
      </c>
      <c r="V167" s="5">
        <f t="shared" si="28"/>
        <v>3.3</v>
      </c>
      <c r="W167" s="5">
        <f t="shared" si="28"/>
        <v>2.73</v>
      </c>
      <c r="X167" s="5">
        <f t="shared" si="28"/>
        <v>2.44</v>
      </c>
      <c r="Y167" s="5">
        <f t="shared" si="28"/>
        <v>2.14</v>
      </c>
      <c r="Z167" s="5">
        <f t="shared" si="28"/>
        <v>2.1</v>
      </c>
      <c r="AA167" s="5">
        <f t="shared" si="28"/>
        <v>1.91</v>
      </c>
      <c r="AB167" s="5">
        <f t="shared" si="28"/>
        <v>1.64</v>
      </c>
      <c r="AC167" s="5">
        <f t="shared" si="28"/>
        <v>1.42</v>
      </c>
      <c r="AD167" s="5">
        <f t="shared" si="28"/>
        <v>1.38</v>
      </c>
      <c r="AE167" s="5">
        <f t="shared" si="28"/>
        <v>1.23</v>
      </c>
      <c r="AF167" s="5">
        <f t="shared" si="28"/>
        <v>1.19</v>
      </c>
      <c r="AG167" s="5">
        <f t="shared" si="28"/>
        <v>1.15</v>
      </c>
      <c r="AH167" s="5">
        <f t="shared" si="27"/>
        <v>1.04</v>
      </c>
      <c r="AI167" s="5">
        <f t="shared" si="27"/>
        <v>0.97</v>
      </c>
      <c r="AJ167" s="5">
        <f t="shared" si="27"/>
        <v>0.94</v>
      </c>
    </row>
    <row r="168" spans="1:36">
      <c r="A168" t="str">
        <f>"primary_archetype_"&amp;TEXT(ROUND(Table213[[#This Row],[2016]],1),"0.0")</f>
        <v>primary_archetype_13.7</v>
      </c>
      <c r="B168" s="5">
        <f t="shared" si="24"/>
        <v>13.7</v>
      </c>
      <c r="C168" s="5">
        <f t="shared" si="29"/>
        <v>13.7</v>
      </c>
      <c r="D168" s="5">
        <f t="shared" si="29"/>
        <v>13.7</v>
      </c>
      <c r="E168" s="5">
        <f t="shared" si="29"/>
        <v>13.45</v>
      </c>
      <c r="F168" s="5">
        <f t="shared" si="29"/>
        <v>12.84</v>
      </c>
      <c r="G168" s="5">
        <f t="shared" si="29"/>
        <v>12.93</v>
      </c>
      <c r="H168" s="5">
        <f t="shared" si="29"/>
        <v>12.67</v>
      </c>
      <c r="I168" s="5">
        <f t="shared" si="29"/>
        <v>12.16</v>
      </c>
      <c r="J168" s="5">
        <f t="shared" si="29"/>
        <v>11.87</v>
      </c>
      <c r="K168" s="5">
        <f t="shared" si="29"/>
        <v>11.58</v>
      </c>
      <c r="L168" s="5">
        <f t="shared" si="29"/>
        <v>11.11</v>
      </c>
      <c r="M168" s="5">
        <f t="shared" si="29"/>
        <v>11.06</v>
      </c>
      <c r="N168" s="5">
        <f t="shared" si="29"/>
        <v>10.68</v>
      </c>
      <c r="O168" s="5">
        <f t="shared" si="29"/>
        <v>10.28</v>
      </c>
      <c r="P168" s="5">
        <f t="shared" si="29"/>
        <v>9.82</v>
      </c>
      <c r="Q168" s="5">
        <f t="shared" si="29"/>
        <v>8.46</v>
      </c>
      <c r="R168" s="5">
        <f t="shared" si="29"/>
        <v>6.62</v>
      </c>
      <c r="S168" s="5">
        <f t="shared" si="28"/>
        <v>6.03</v>
      </c>
      <c r="T168" s="5">
        <f t="shared" si="28"/>
        <v>4.75</v>
      </c>
      <c r="U168" s="5">
        <f t="shared" si="28"/>
        <v>3.47</v>
      </c>
      <c r="V168" s="5">
        <f t="shared" si="28"/>
        <v>3.28</v>
      </c>
      <c r="W168" s="5">
        <f t="shared" si="28"/>
        <v>2.72</v>
      </c>
      <c r="X168" s="5">
        <f t="shared" si="28"/>
        <v>2.43</v>
      </c>
      <c r="Y168" s="5">
        <f t="shared" si="28"/>
        <v>2.14</v>
      </c>
      <c r="Z168" s="5">
        <f t="shared" si="28"/>
        <v>2.09</v>
      </c>
      <c r="AA168" s="5">
        <f t="shared" si="28"/>
        <v>1.9</v>
      </c>
      <c r="AB168" s="5">
        <f t="shared" si="28"/>
        <v>1.63</v>
      </c>
      <c r="AC168" s="5">
        <f t="shared" si="28"/>
        <v>1.41</v>
      </c>
      <c r="AD168" s="5">
        <f t="shared" si="28"/>
        <v>1.38</v>
      </c>
      <c r="AE168" s="5">
        <f t="shared" si="28"/>
        <v>1.23</v>
      </c>
      <c r="AF168" s="5">
        <f t="shared" si="28"/>
        <v>1.19</v>
      </c>
      <c r="AG168" s="5">
        <f t="shared" si="28"/>
        <v>1.15</v>
      </c>
      <c r="AH168" s="5">
        <f t="shared" si="27"/>
        <v>1.04</v>
      </c>
      <c r="AI168" s="5">
        <f t="shared" si="27"/>
        <v>0.97</v>
      </c>
      <c r="AJ168" s="5">
        <f t="shared" si="27"/>
        <v>0.94</v>
      </c>
    </row>
    <row r="169" spans="1:36">
      <c r="A169" t="str">
        <f>"primary_archetype_"&amp;TEXT(ROUND(Table213[[#This Row],[2016]],1),"0.0")</f>
        <v>primary_archetype_13.6</v>
      </c>
      <c r="B169" s="5">
        <f t="shared" si="24"/>
        <v>13.6</v>
      </c>
      <c r="C169" s="5">
        <f t="shared" si="29"/>
        <v>13.6</v>
      </c>
      <c r="D169" s="5">
        <f t="shared" si="29"/>
        <v>13.6</v>
      </c>
      <c r="E169" s="5">
        <f t="shared" si="29"/>
        <v>13.35</v>
      </c>
      <c r="F169" s="5">
        <f t="shared" si="29"/>
        <v>12.75</v>
      </c>
      <c r="G169" s="5">
        <f t="shared" si="29"/>
        <v>12.83</v>
      </c>
      <c r="H169" s="5">
        <f t="shared" si="29"/>
        <v>12.57</v>
      </c>
      <c r="I169" s="5">
        <f t="shared" si="29"/>
        <v>12.07</v>
      </c>
      <c r="J169" s="5">
        <f t="shared" si="29"/>
        <v>11.79</v>
      </c>
      <c r="K169" s="5">
        <f t="shared" si="29"/>
        <v>11.49</v>
      </c>
      <c r="L169" s="5">
        <f t="shared" si="29"/>
        <v>11.03</v>
      </c>
      <c r="M169" s="5">
        <f t="shared" si="29"/>
        <v>10.98</v>
      </c>
      <c r="N169" s="5">
        <f t="shared" si="29"/>
        <v>10.6</v>
      </c>
      <c r="O169" s="5">
        <f t="shared" si="29"/>
        <v>10.21</v>
      </c>
      <c r="P169" s="5">
        <f t="shared" si="29"/>
        <v>9.75</v>
      </c>
      <c r="Q169" s="5">
        <f t="shared" si="29"/>
        <v>8.4</v>
      </c>
      <c r="R169" s="5">
        <f t="shared" si="29"/>
        <v>6.57</v>
      </c>
      <c r="S169" s="5">
        <f t="shared" si="28"/>
        <v>5.99</v>
      </c>
      <c r="T169" s="5">
        <f t="shared" si="28"/>
        <v>4.72</v>
      </c>
      <c r="U169" s="5">
        <f t="shared" si="28"/>
        <v>3.45</v>
      </c>
      <c r="V169" s="5">
        <f t="shared" si="28"/>
        <v>3.26</v>
      </c>
      <c r="W169" s="5">
        <f t="shared" si="28"/>
        <v>2.71</v>
      </c>
      <c r="X169" s="5">
        <f t="shared" si="28"/>
        <v>2.42</v>
      </c>
      <c r="Y169" s="5">
        <f t="shared" si="28"/>
        <v>2.13</v>
      </c>
      <c r="Z169" s="5">
        <f t="shared" si="28"/>
        <v>2.08</v>
      </c>
      <c r="AA169" s="5">
        <f t="shared" si="28"/>
        <v>1.9</v>
      </c>
      <c r="AB169" s="5">
        <f t="shared" si="28"/>
        <v>1.63</v>
      </c>
      <c r="AC169" s="5">
        <f t="shared" si="28"/>
        <v>1.41</v>
      </c>
      <c r="AD169" s="5">
        <f t="shared" si="28"/>
        <v>1.37</v>
      </c>
      <c r="AE169" s="5">
        <f t="shared" si="28"/>
        <v>1.23</v>
      </c>
      <c r="AF169" s="5">
        <f t="shared" si="28"/>
        <v>1.18</v>
      </c>
      <c r="AG169" s="5">
        <f t="shared" si="28"/>
        <v>1.15</v>
      </c>
      <c r="AH169" s="5">
        <f t="shared" si="27"/>
        <v>1.04</v>
      </c>
      <c r="AI169" s="5">
        <f t="shared" si="27"/>
        <v>0.97</v>
      </c>
      <c r="AJ169" s="5">
        <f t="shared" si="27"/>
        <v>0.94</v>
      </c>
    </row>
    <row r="170" spans="1:36">
      <c r="A170" t="str">
        <f>"primary_archetype_"&amp;TEXT(ROUND(Table213[[#This Row],[2016]],1),"0.0")</f>
        <v>primary_archetype_13.5</v>
      </c>
      <c r="B170" s="5">
        <f t="shared" si="24"/>
        <v>13.5</v>
      </c>
      <c r="C170" s="5">
        <f t="shared" si="29"/>
        <v>13.5</v>
      </c>
      <c r="D170" s="5">
        <f t="shared" si="29"/>
        <v>13.5</v>
      </c>
      <c r="E170" s="5">
        <f t="shared" si="29"/>
        <v>13.25</v>
      </c>
      <c r="F170" s="5">
        <f t="shared" si="29"/>
        <v>12.66</v>
      </c>
      <c r="G170" s="5">
        <f t="shared" si="29"/>
        <v>12.74</v>
      </c>
      <c r="H170" s="5">
        <f t="shared" si="29"/>
        <v>12.48</v>
      </c>
      <c r="I170" s="5">
        <f t="shared" si="29"/>
        <v>11.98</v>
      </c>
      <c r="J170" s="5">
        <f t="shared" si="29"/>
        <v>11.7</v>
      </c>
      <c r="K170" s="5">
        <f t="shared" si="29"/>
        <v>11.41</v>
      </c>
      <c r="L170" s="5">
        <f t="shared" si="29"/>
        <v>10.95</v>
      </c>
      <c r="M170" s="5">
        <f t="shared" si="29"/>
        <v>10.9</v>
      </c>
      <c r="N170" s="5">
        <f t="shared" si="29"/>
        <v>10.53</v>
      </c>
      <c r="O170" s="5">
        <f t="shared" si="29"/>
        <v>10.14</v>
      </c>
      <c r="P170" s="5">
        <f t="shared" si="29"/>
        <v>9.68</v>
      </c>
      <c r="Q170" s="5">
        <f t="shared" si="29"/>
        <v>8.34</v>
      </c>
      <c r="R170" s="5">
        <f t="shared" si="29"/>
        <v>6.53</v>
      </c>
      <c r="S170" s="5">
        <f t="shared" si="28"/>
        <v>5.95</v>
      </c>
      <c r="T170" s="5">
        <f t="shared" si="28"/>
        <v>4.69</v>
      </c>
      <c r="U170" s="5">
        <f t="shared" si="28"/>
        <v>3.43</v>
      </c>
      <c r="V170" s="5">
        <f t="shared" si="28"/>
        <v>3.25</v>
      </c>
      <c r="W170" s="5">
        <f t="shared" si="28"/>
        <v>2.69</v>
      </c>
      <c r="X170" s="5">
        <f t="shared" si="28"/>
        <v>2.41</v>
      </c>
      <c r="Y170" s="5">
        <f t="shared" si="28"/>
        <v>2.12</v>
      </c>
      <c r="Z170" s="5">
        <f t="shared" si="28"/>
        <v>2.07</v>
      </c>
      <c r="AA170" s="5">
        <f t="shared" si="28"/>
        <v>1.89</v>
      </c>
      <c r="AB170" s="5">
        <f t="shared" si="28"/>
        <v>1.62</v>
      </c>
      <c r="AC170" s="5">
        <f t="shared" si="28"/>
        <v>1.41</v>
      </c>
      <c r="AD170" s="5">
        <f t="shared" si="28"/>
        <v>1.37</v>
      </c>
      <c r="AE170" s="5">
        <f t="shared" si="28"/>
        <v>1.22</v>
      </c>
      <c r="AF170" s="5">
        <f t="shared" si="28"/>
        <v>1.18</v>
      </c>
      <c r="AG170" s="5">
        <f t="shared" si="28"/>
        <v>1.15</v>
      </c>
      <c r="AH170" s="5">
        <f t="shared" si="27"/>
        <v>1.04</v>
      </c>
      <c r="AI170" s="5">
        <f t="shared" si="27"/>
        <v>0.97</v>
      </c>
      <c r="AJ170" s="5">
        <f t="shared" si="27"/>
        <v>0.94</v>
      </c>
    </row>
    <row r="171" spans="1:36">
      <c r="A171" t="str">
        <f>"primary_archetype_"&amp;TEXT(ROUND(Table213[[#This Row],[2016]],1),"0.0")</f>
        <v>primary_archetype_13.4</v>
      </c>
      <c r="B171" s="5">
        <f t="shared" si="24"/>
        <v>13.4</v>
      </c>
      <c r="C171" s="5">
        <f t="shared" si="29"/>
        <v>13.4</v>
      </c>
      <c r="D171" s="5">
        <f t="shared" si="29"/>
        <v>13.4</v>
      </c>
      <c r="E171" s="5">
        <f t="shared" si="29"/>
        <v>13.16</v>
      </c>
      <c r="F171" s="5">
        <f t="shared" si="29"/>
        <v>12.56</v>
      </c>
      <c r="G171" s="5">
        <f t="shared" si="29"/>
        <v>12.65</v>
      </c>
      <c r="H171" s="5">
        <f t="shared" si="29"/>
        <v>12.39</v>
      </c>
      <c r="I171" s="5">
        <f t="shared" si="29"/>
        <v>11.89</v>
      </c>
      <c r="J171" s="5">
        <f t="shared" si="29"/>
        <v>11.61</v>
      </c>
      <c r="K171" s="5">
        <f t="shared" si="29"/>
        <v>11.33</v>
      </c>
      <c r="L171" s="5">
        <f t="shared" si="29"/>
        <v>10.88</v>
      </c>
      <c r="M171" s="5">
        <f t="shared" si="29"/>
        <v>10.82</v>
      </c>
      <c r="N171" s="5">
        <f t="shared" si="29"/>
        <v>10.45</v>
      </c>
      <c r="O171" s="5">
        <f t="shared" si="29"/>
        <v>10.07</v>
      </c>
      <c r="P171" s="5">
        <f t="shared" si="29"/>
        <v>9.61</v>
      </c>
      <c r="Q171" s="5">
        <f t="shared" si="29"/>
        <v>8.28</v>
      </c>
      <c r="R171" s="5">
        <f t="shared" si="29"/>
        <v>6.48</v>
      </c>
      <c r="S171" s="5">
        <f t="shared" si="28"/>
        <v>5.91</v>
      </c>
      <c r="T171" s="5">
        <f t="shared" si="28"/>
        <v>4.67</v>
      </c>
      <c r="U171" s="5">
        <f t="shared" si="28"/>
        <v>3.41</v>
      </c>
      <c r="V171" s="5">
        <f t="shared" si="28"/>
        <v>3.23</v>
      </c>
      <c r="W171" s="5">
        <f t="shared" si="28"/>
        <v>2.68</v>
      </c>
      <c r="X171" s="5">
        <f t="shared" si="28"/>
        <v>2.4</v>
      </c>
      <c r="Y171" s="5">
        <f t="shared" si="28"/>
        <v>2.11</v>
      </c>
      <c r="Z171" s="5">
        <f t="shared" si="28"/>
        <v>2.06</v>
      </c>
      <c r="AA171" s="5">
        <f t="shared" si="28"/>
        <v>1.88</v>
      </c>
      <c r="AB171" s="5">
        <f t="shared" si="28"/>
        <v>1.62</v>
      </c>
      <c r="AC171" s="5">
        <f t="shared" si="28"/>
        <v>1.4</v>
      </c>
      <c r="AD171" s="5">
        <f t="shared" si="28"/>
        <v>1.37</v>
      </c>
      <c r="AE171" s="5">
        <f t="shared" si="28"/>
        <v>1.22</v>
      </c>
      <c r="AF171" s="5">
        <f t="shared" si="28"/>
        <v>1.18</v>
      </c>
      <c r="AG171" s="5">
        <f t="shared" si="28"/>
        <v>1.15</v>
      </c>
      <c r="AH171" s="5">
        <f t="shared" si="27"/>
        <v>1.04</v>
      </c>
      <c r="AI171" s="5">
        <f t="shared" si="27"/>
        <v>0.97</v>
      </c>
      <c r="AJ171" s="5">
        <f t="shared" si="27"/>
        <v>0.94</v>
      </c>
    </row>
    <row r="172" spans="1:36">
      <c r="A172" t="str">
        <f>"primary_archetype_"&amp;TEXT(ROUND(Table213[[#This Row],[2016]],1),"0.0")</f>
        <v>primary_archetype_13.3</v>
      </c>
      <c r="B172" s="5">
        <f t="shared" si="24"/>
        <v>13.3</v>
      </c>
      <c r="C172" s="5">
        <f t="shared" si="29"/>
        <v>13.3</v>
      </c>
      <c r="D172" s="5">
        <f t="shared" si="29"/>
        <v>13.3</v>
      </c>
      <c r="E172" s="5">
        <f t="shared" si="29"/>
        <v>13.06</v>
      </c>
      <c r="F172" s="5">
        <f t="shared" si="29"/>
        <v>12.47</v>
      </c>
      <c r="G172" s="5">
        <f t="shared" si="29"/>
        <v>12.55</v>
      </c>
      <c r="H172" s="5">
        <f t="shared" si="29"/>
        <v>12.3</v>
      </c>
      <c r="I172" s="5">
        <f t="shared" si="29"/>
        <v>11.81</v>
      </c>
      <c r="J172" s="5">
        <f t="shared" si="29"/>
        <v>11.53</v>
      </c>
      <c r="K172" s="5">
        <f t="shared" si="29"/>
        <v>11.24</v>
      </c>
      <c r="L172" s="5">
        <f t="shared" si="29"/>
        <v>10.8</v>
      </c>
      <c r="M172" s="5">
        <f t="shared" si="29"/>
        <v>10.74</v>
      </c>
      <c r="N172" s="5">
        <f t="shared" si="29"/>
        <v>10.37</v>
      </c>
      <c r="O172" s="5">
        <f t="shared" si="29"/>
        <v>9.99</v>
      </c>
      <c r="P172" s="5">
        <f t="shared" si="29"/>
        <v>9.54</v>
      </c>
      <c r="Q172" s="5">
        <f t="shared" si="29"/>
        <v>8.22</v>
      </c>
      <c r="R172" s="5">
        <f t="shared" ref="R172:AG187" si="30">MROUND((($B172-$AH$2)*((R$2-$AH$2)/($B$2-$AH$2)))+$AH$2,0.01)</f>
        <v>6.44</v>
      </c>
      <c r="S172" s="5">
        <f t="shared" si="30"/>
        <v>5.87</v>
      </c>
      <c r="T172" s="5">
        <f t="shared" si="30"/>
        <v>4.64</v>
      </c>
      <c r="U172" s="5">
        <f t="shared" si="30"/>
        <v>3.39</v>
      </c>
      <c r="V172" s="5">
        <f t="shared" si="30"/>
        <v>3.21</v>
      </c>
      <c r="W172" s="5">
        <f t="shared" si="30"/>
        <v>2.67</v>
      </c>
      <c r="X172" s="5">
        <f t="shared" si="30"/>
        <v>2.39</v>
      </c>
      <c r="Y172" s="5">
        <f t="shared" si="30"/>
        <v>2.1</v>
      </c>
      <c r="Z172" s="5">
        <f t="shared" si="30"/>
        <v>2.06</v>
      </c>
      <c r="AA172" s="5">
        <f t="shared" si="30"/>
        <v>1.88</v>
      </c>
      <c r="AB172" s="5">
        <f t="shared" si="30"/>
        <v>1.62</v>
      </c>
      <c r="AC172" s="5">
        <f t="shared" si="30"/>
        <v>1.4</v>
      </c>
      <c r="AD172" s="5">
        <f t="shared" si="30"/>
        <v>1.37</v>
      </c>
      <c r="AE172" s="5">
        <f t="shared" si="30"/>
        <v>1.22</v>
      </c>
      <c r="AF172" s="5">
        <f t="shared" si="30"/>
        <v>1.18</v>
      </c>
      <c r="AG172" s="5">
        <f t="shared" si="30"/>
        <v>1.15</v>
      </c>
      <c r="AH172" s="5">
        <f t="shared" si="27"/>
        <v>1.04</v>
      </c>
      <c r="AI172" s="5">
        <f t="shared" si="27"/>
        <v>0.97</v>
      </c>
      <c r="AJ172" s="5">
        <f t="shared" si="27"/>
        <v>0.94</v>
      </c>
    </row>
    <row r="173" spans="1:36">
      <c r="A173" t="str">
        <f>"primary_archetype_"&amp;TEXT(ROUND(Table213[[#This Row],[2016]],1),"0.0")</f>
        <v>primary_archetype_13.2</v>
      </c>
      <c r="B173" s="5">
        <f t="shared" si="24"/>
        <v>13.2</v>
      </c>
      <c r="C173" s="5">
        <f t="shared" ref="C173:R188" si="31">MROUND((($B173-$AH$2)*((C$2-$AH$2)/($B$2-$AH$2)))+$AH$2,0.01)</f>
        <v>13.2</v>
      </c>
      <c r="D173" s="5">
        <f t="shared" si="31"/>
        <v>13.2</v>
      </c>
      <c r="E173" s="5">
        <f t="shared" si="31"/>
        <v>12.96</v>
      </c>
      <c r="F173" s="5">
        <f t="shared" si="31"/>
        <v>12.38</v>
      </c>
      <c r="G173" s="5">
        <f t="shared" si="31"/>
        <v>12.46</v>
      </c>
      <c r="H173" s="5">
        <f t="shared" si="31"/>
        <v>12.21</v>
      </c>
      <c r="I173" s="5">
        <f t="shared" si="31"/>
        <v>11.72</v>
      </c>
      <c r="J173" s="5">
        <f t="shared" si="31"/>
        <v>11.44</v>
      </c>
      <c r="K173" s="5">
        <f t="shared" si="31"/>
        <v>11.16</v>
      </c>
      <c r="L173" s="5">
        <f t="shared" si="31"/>
        <v>10.72</v>
      </c>
      <c r="M173" s="5">
        <f t="shared" si="31"/>
        <v>10.66</v>
      </c>
      <c r="N173" s="5">
        <f t="shared" si="31"/>
        <v>10.3</v>
      </c>
      <c r="O173" s="5">
        <f t="shared" si="31"/>
        <v>9.92</v>
      </c>
      <c r="P173" s="5">
        <f t="shared" si="31"/>
        <v>9.47</v>
      </c>
      <c r="Q173" s="5">
        <f t="shared" si="31"/>
        <v>8.16</v>
      </c>
      <c r="R173" s="5">
        <f t="shared" si="31"/>
        <v>6.4</v>
      </c>
      <c r="S173" s="5">
        <f t="shared" si="30"/>
        <v>5.83</v>
      </c>
      <c r="T173" s="5">
        <f t="shared" si="30"/>
        <v>4.61</v>
      </c>
      <c r="U173" s="5">
        <f t="shared" si="30"/>
        <v>3.37</v>
      </c>
      <c r="V173" s="5">
        <f t="shared" si="30"/>
        <v>3.19</v>
      </c>
      <c r="W173" s="5">
        <f t="shared" si="30"/>
        <v>2.65</v>
      </c>
      <c r="X173" s="5">
        <f t="shared" si="30"/>
        <v>2.38</v>
      </c>
      <c r="Y173" s="5">
        <f t="shared" si="30"/>
        <v>2.09</v>
      </c>
      <c r="Z173" s="5">
        <f t="shared" si="30"/>
        <v>2.05</v>
      </c>
      <c r="AA173" s="5">
        <f t="shared" si="30"/>
        <v>1.87</v>
      </c>
      <c r="AB173" s="5">
        <f t="shared" si="30"/>
        <v>1.61</v>
      </c>
      <c r="AC173" s="5">
        <f t="shared" si="30"/>
        <v>1.4</v>
      </c>
      <c r="AD173" s="5">
        <f t="shared" si="30"/>
        <v>1.36</v>
      </c>
      <c r="AE173" s="5">
        <f t="shared" si="30"/>
        <v>1.22</v>
      </c>
      <c r="AF173" s="5">
        <f t="shared" si="30"/>
        <v>1.18</v>
      </c>
      <c r="AG173" s="5">
        <f t="shared" si="30"/>
        <v>1.15</v>
      </c>
      <c r="AH173" s="5">
        <f t="shared" si="27"/>
        <v>1.04</v>
      </c>
      <c r="AI173" s="5">
        <f t="shared" si="27"/>
        <v>0.97</v>
      </c>
      <c r="AJ173" s="5">
        <f t="shared" si="27"/>
        <v>0.94</v>
      </c>
    </row>
    <row r="174" spans="1:36">
      <c r="A174" t="str">
        <f>"primary_archetype_"&amp;TEXT(ROUND(Table213[[#This Row],[2016]],1),"0.0")</f>
        <v>primary_archetype_13.1</v>
      </c>
      <c r="B174" s="5">
        <f t="shared" si="24"/>
        <v>13.1</v>
      </c>
      <c r="C174" s="5">
        <f t="shared" si="31"/>
        <v>13.1</v>
      </c>
      <c r="D174" s="5">
        <f t="shared" si="31"/>
        <v>13.1</v>
      </c>
      <c r="E174" s="5">
        <f t="shared" si="31"/>
        <v>12.86</v>
      </c>
      <c r="F174" s="5">
        <f t="shared" si="31"/>
        <v>12.28</v>
      </c>
      <c r="G174" s="5">
        <f t="shared" si="31"/>
        <v>12.36</v>
      </c>
      <c r="H174" s="5">
        <f t="shared" si="31"/>
        <v>12.11</v>
      </c>
      <c r="I174" s="5">
        <f t="shared" si="31"/>
        <v>11.63</v>
      </c>
      <c r="J174" s="5">
        <f t="shared" si="31"/>
        <v>11.36</v>
      </c>
      <c r="K174" s="5">
        <f t="shared" si="31"/>
        <v>11.08</v>
      </c>
      <c r="L174" s="5">
        <f t="shared" si="31"/>
        <v>10.64</v>
      </c>
      <c r="M174" s="5">
        <f t="shared" si="31"/>
        <v>10.58</v>
      </c>
      <c r="N174" s="5">
        <f t="shared" si="31"/>
        <v>10.22</v>
      </c>
      <c r="O174" s="5">
        <f t="shared" si="31"/>
        <v>9.85</v>
      </c>
      <c r="P174" s="5">
        <f t="shared" si="31"/>
        <v>9.4</v>
      </c>
      <c r="Q174" s="5">
        <f t="shared" si="31"/>
        <v>8.1</v>
      </c>
      <c r="R174" s="5">
        <f t="shared" si="31"/>
        <v>6.35</v>
      </c>
      <c r="S174" s="5">
        <f t="shared" si="30"/>
        <v>5.79</v>
      </c>
      <c r="T174" s="5">
        <f t="shared" si="30"/>
        <v>4.58</v>
      </c>
      <c r="U174" s="5">
        <f t="shared" si="30"/>
        <v>3.35</v>
      </c>
      <c r="V174" s="5">
        <f t="shared" si="30"/>
        <v>3.18</v>
      </c>
      <c r="W174" s="5">
        <f t="shared" si="30"/>
        <v>2.64</v>
      </c>
      <c r="X174" s="5">
        <f t="shared" si="30"/>
        <v>2.37</v>
      </c>
      <c r="Y174" s="5">
        <f t="shared" si="30"/>
        <v>2.08</v>
      </c>
      <c r="Z174" s="5">
        <f t="shared" si="30"/>
        <v>2.04</v>
      </c>
      <c r="AA174" s="5">
        <f t="shared" si="30"/>
        <v>1.86</v>
      </c>
      <c r="AB174" s="5">
        <f t="shared" si="30"/>
        <v>1.61</v>
      </c>
      <c r="AC174" s="5">
        <f t="shared" si="30"/>
        <v>1.39</v>
      </c>
      <c r="AD174" s="5">
        <f t="shared" si="30"/>
        <v>1.36</v>
      </c>
      <c r="AE174" s="5">
        <f t="shared" si="30"/>
        <v>1.22</v>
      </c>
      <c r="AF174" s="5">
        <f t="shared" si="30"/>
        <v>1.18</v>
      </c>
      <c r="AG174" s="5">
        <f t="shared" si="30"/>
        <v>1.15</v>
      </c>
      <c r="AH174" s="5">
        <f t="shared" si="27"/>
        <v>1.04</v>
      </c>
      <c r="AI174" s="5">
        <f t="shared" si="27"/>
        <v>0.97</v>
      </c>
      <c r="AJ174" s="5">
        <f t="shared" si="27"/>
        <v>0.94</v>
      </c>
    </row>
    <row r="175" spans="1:36">
      <c r="A175" t="str">
        <f>"primary_archetype_"&amp;TEXT(ROUND(Table213[[#This Row],[2016]],1),"0.0")</f>
        <v>primary_archetype_13.0</v>
      </c>
      <c r="B175" s="5">
        <f t="shared" si="24"/>
        <v>13</v>
      </c>
      <c r="C175" s="5">
        <f t="shared" si="31"/>
        <v>13</v>
      </c>
      <c r="D175" s="5">
        <f t="shared" si="31"/>
        <v>13</v>
      </c>
      <c r="E175" s="5">
        <f t="shared" si="31"/>
        <v>12.76</v>
      </c>
      <c r="F175" s="5">
        <f t="shared" si="31"/>
        <v>12.19</v>
      </c>
      <c r="G175" s="5">
        <f t="shared" si="31"/>
        <v>12.27</v>
      </c>
      <c r="H175" s="5">
        <f t="shared" si="31"/>
        <v>12.02</v>
      </c>
      <c r="I175" s="5">
        <f t="shared" si="31"/>
        <v>11.54</v>
      </c>
      <c r="J175" s="5">
        <f t="shared" si="31"/>
        <v>11.27</v>
      </c>
      <c r="K175" s="5">
        <f t="shared" si="31"/>
        <v>10.99</v>
      </c>
      <c r="L175" s="5">
        <f t="shared" si="31"/>
        <v>10.56</v>
      </c>
      <c r="M175" s="5">
        <f t="shared" si="31"/>
        <v>10.5</v>
      </c>
      <c r="N175" s="5">
        <f t="shared" si="31"/>
        <v>10.15</v>
      </c>
      <c r="O175" s="5">
        <f t="shared" si="31"/>
        <v>9.77</v>
      </c>
      <c r="P175" s="5">
        <f t="shared" si="31"/>
        <v>9.33</v>
      </c>
      <c r="Q175" s="5">
        <f t="shared" si="31"/>
        <v>8.05</v>
      </c>
      <c r="R175" s="5">
        <f t="shared" si="31"/>
        <v>6.31</v>
      </c>
      <c r="S175" s="5">
        <f t="shared" si="30"/>
        <v>5.75</v>
      </c>
      <c r="T175" s="5">
        <f t="shared" si="30"/>
        <v>4.55</v>
      </c>
      <c r="U175" s="5">
        <f t="shared" si="30"/>
        <v>3.33</v>
      </c>
      <c r="V175" s="5">
        <f t="shared" si="30"/>
        <v>3.16</v>
      </c>
      <c r="W175" s="5">
        <f t="shared" si="30"/>
        <v>2.63</v>
      </c>
      <c r="X175" s="5">
        <f t="shared" si="30"/>
        <v>2.36</v>
      </c>
      <c r="Y175" s="5">
        <f t="shared" si="30"/>
        <v>2.08</v>
      </c>
      <c r="Z175" s="5">
        <f t="shared" si="30"/>
        <v>2.03</v>
      </c>
      <c r="AA175" s="5">
        <f t="shared" si="30"/>
        <v>1.86</v>
      </c>
      <c r="AB175" s="5">
        <f t="shared" si="30"/>
        <v>1.6</v>
      </c>
      <c r="AC175" s="5">
        <f t="shared" si="30"/>
        <v>1.39</v>
      </c>
      <c r="AD175" s="5">
        <f t="shared" si="30"/>
        <v>1.36</v>
      </c>
      <c r="AE175" s="5">
        <f t="shared" si="30"/>
        <v>1.22</v>
      </c>
      <c r="AF175" s="5">
        <f t="shared" si="30"/>
        <v>1.18</v>
      </c>
      <c r="AG175" s="5">
        <f t="shared" si="30"/>
        <v>1.15</v>
      </c>
      <c r="AH175" s="5">
        <f t="shared" si="27"/>
        <v>1.04</v>
      </c>
      <c r="AI175" s="5">
        <f t="shared" si="27"/>
        <v>0.97</v>
      </c>
      <c r="AJ175" s="5">
        <f t="shared" si="27"/>
        <v>0.94</v>
      </c>
    </row>
    <row r="176" spans="1:36">
      <c r="A176" t="str">
        <f>"primary_archetype_"&amp;TEXT(ROUND(Table213[[#This Row],[2016]],1),"0.0")</f>
        <v>primary_archetype_12.9</v>
      </c>
      <c r="B176" s="5">
        <f t="shared" si="24"/>
        <v>12.9</v>
      </c>
      <c r="C176" s="5">
        <f t="shared" si="31"/>
        <v>12.9</v>
      </c>
      <c r="D176" s="5">
        <f t="shared" si="31"/>
        <v>12.9</v>
      </c>
      <c r="E176" s="5">
        <f t="shared" si="31"/>
        <v>12.67</v>
      </c>
      <c r="F176" s="5">
        <f t="shared" si="31"/>
        <v>12.1</v>
      </c>
      <c r="G176" s="5">
        <f t="shared" si="31"/>
        <v>12.18</v>
      </c>
      <c r="H176" s="5">
        <f t="shared" si="31"/>
        <v>11.93</v>
      </c>
      <c r="I176" s="5">
        <f t="shared" si="31"/>
        <v>11.45</v>
      </c>
      <c r="J176" s="5">
        <f t="shared" si="31"/>
        <v>11.19</v>
      </c>
      <c r="K176" s="5">
        <f t="shared" si="31"/>
        <v>10.91</v>
      </c>
      <c r="L176" s="5">
        <f t="shared" si="31"/>
        <v>10.48</v>
      </c>
      <c r="M176" s="5">
        <f t="shared" si="31"/>
        <v>10.42</v>
      </c>
      <c r="N176" s="5">
        <f t="shared" si="31"/>
        <v>10.07</v>
      </c>
      <c r="O176" s="5">
        <f t="shared" si="31"/>
        <v>9.7</v>
      </c>
      <c r="P176" s="5">
        <f t="shared" si="31"/>
        <v>9.26</v>
      </c>
      <c r="Q176" s="5">
        <f t="shared" si="31"/>
        <v>7.99</v>
      </c>
      <c r="R176" s="5">
        <f t="shared" si="31"/>
        <v>6.26</v>
      </c>
      <c r="S176" s="5">
        <f t="shared" si="30"/>
        <v>5.71</v>
      </c>
      <c r="T176" s="5">
        <f t="shared" si="30"/>
        <v>4.52</v>
      </c>
      <c r="U176" s="5">
        <f t="shared" si="30"/>
        <v>3.31</v>
      </c>
      <c r="V176" s="5">
        <f t="shared" si="30"/>
        <v>3.14</v>
      </c>
      <c r="W176" s="5">
        <f t="shared" si="30"/>
        <v>2.61</v>
      </c>
      <c r="X176" s="5">
        <f t="shared" si="30"/>
        <v>2.35</v>
      </c>
      <c r="Y176" s="5">
        <f t="shared" si="30"/>
        <v>2.07</v>
      </c>
      <c r="Z176" s="5">
        <f t="shared" si="30"/>
        <v>2.02</v>
      </c>
      <c r="AA176" s="5">
        <f t="shared" si="30"/>
        <v>1.85</v>
      </c>
      <c r="AB176" s="5">
        <f t="shared" si="30"/>
        <v>1.6</v>
      </c>
      <c r="AC176" s="5">
        <f t="shared" si="30"/>
        <v>1.39</v>
      </c>
      <c r="AD176" s="5">
        <f t="shared" si="30"/>
        <v>1.35</v>
      </c>
      <c r="AE176" s="5">
        <f t="shared" si="30"/>
        <v>1.21</v>
      </c>
      <c r="AF176" s="5">
        <f t="shared" si="30"/>
        <v>1.18</v>
      </c>
      <c r="AG176" s="5">
        <f t="shared" si="30"/>
        <v>1.15</v>
      </c>
      <c r="AH176" s="5">
        <f t="shared" si="27"/>
        <v>1.04</v>
      </c>
      <c r="AI176" s="5">
        <f t="shared" si="27"/>
        <v>0.97</v>
      </c>
      <c r="AJ176" s="5">
        <f t="shared" si="27"/>
        <v>0.95</v>
      </c>
    </row>
    <row r="177" spans="1:36">
      <c r="A177" t="str">
        <f>"primary_archetype_"&amp;TEXT(ROUND(Table213[[#This Row],[2016]],1),"0.0")</f>
        <v>primary_archetype_12.8</v>
      </c>
      <c r="B177" s="5">
        <f t="shared" si="24"/>
        <v>12.8</v>
      </c>
      <c r="C177" s="5">
        <f t="shared" si="31"/>
        <v>12.8</v>
      </c>
      <c r="D177" s="5">
        <f t="shared" si="31"/>
        <v>12.8</v>
      </c>
      <c r="E177" s="5">
        <f t="shared" si="31"/>
        <v>12.57</v>
      </c>
      <c r="F177" s="5">
        <f t="shared" si="31"/>
        <v>12</v>
      </c>
      <c r="G177" s="5">
        <f t="shared" si="31"/>
        <v>12.08</v>
      </c>
      <c r="H177" s="5">
        <f t="shared" si="31"/>
        <v>11.84</v>
      </c>
      <c r="I177" s="5">
        <f t="shared" si="31"/>
        <v>11.37</v>
      </c>
      <c r="J177" s="5">
        <f t="shared" si="31"/>
        <v>11.1</v>
      </c>
      <c r="K177" s="5">
        <f t="shared" si="31"/>
        <v>10.83</v>
      </c>
      <c r="L177" s="5">
        <f t="shared" si="31"/>
        <v>10.4</v>
      </c>
      <c r="M177" s="5">
        <f t="shared" si="31"/>
        <v>10.35</v>
      </c>
      <c r="N177" s="5">
        <f t="shared" si="31"/>
        <v>9.99</v>
      </c>
      <c r="O177" s="5">
        <f t="shared" si="31"/>
        <v>9.63</v>
      </c>
      <c r="P177" s="5">
        <f t="shared" si="31"/>
        <v>9.19</v>
      </c>
      <c r="Q177" s="5">
        <f t="shared" si="31"/>
        <v>7.93</v>
      </c>
      <c r="R177" s="5">
        <f t="shared" si="31"/>
        <v>6.22</v>
      </c>
      <c r="S177" s="5">
        <f t="shared" si="30"/>
        <v>5.67</v>
      </c>
      <c r="T177" s="5">
        <f t="shared" si="30"/>
        <v>4.49</v>
      </c>
      <c r="U177" s="5">
        <f t="shared" si="30"/>
        <v>3.3</v>
      </c>
      <c r="V177" s="5">
        <f t="shared" si="30"/>
        <v>3.12</v>
      </c>
      <c r="W177" s="5">
        <f t="shared" si="30"/>
        <v>2.6</v>
      </c>
      <c r="X177" s="5">
        <f t="shared" si="30"/>
        <v>2.33</v>
      </c>
      <c r="Y177" s="5">
        <f t="shared" si="30"/>
        <v>2.06</v>
      </c>
      <c r="Z177" s="5">
        <f t="shared" si="30"/>
        <v>2.02</v>
      </c>
      <c r="AA177" s="5">
        <f t="shared" si="30"/>
        <v>1.84</v>
      </c>
      <c r="AB177" s="5">
        <f t="shared" si="30"/>
        <v>1.59</v>
      </c>
      <c r="AC177" s="5">
        <f t="shared" si="30"/>
        <v>1.39</v>
      </c>
      <c r="AD177" s="5">
        <f t="shared" si="30"/>
        <v>1.35</v>
      </c>
      <c r="AE177" s="5">
        <f t="shared" si="30"/>
        <v>1.21</v>
      </c>
      <c r="AF177" s="5">
        <f t="shared" si="30"/>
        <v>1.17</v>
      </c>
      <c r="AG177" s="5">
        <f t="shared" si="30"/>
        <v>1.15</v>
      </c>
      <c r="AH177" s="5">
        <f t="shared" si="27"/>
        <v>1.04</v>
      </c>
      <c r="AI177" s="5">
        <f t="shared" si="27"/>
        <v>0.98</v>
      </c>
      <c r="AJ177" s="5">
        <f t="shared" si="27"/>
        <v>0.95</v>
      </c>
    </row>
    <row r="178" spans="1:36">
      <c r="A178" t="str">
        <f>"primary_archetype_"&amp;TEXT(ROUND(Table213[[#This Row],[2016]],1),"0.0")</f>
        <v>primary_archetype_12.7</v>
      </c>
      <c r="B178" s="5">
        <f t="shared" si="24"/>
        <v>12.7</v>
      </c>
      <c r="C178" s="5">
        <f t="shared" si="31"/>
        <v>12.7</v>
      </c>
      <c r="D178" s="5">
        <f t="shared" si="31"/>
        <v>12.7</v>
      </c>
      <c r="E178" s="5">
        <f t="shared" si="31"/>
        <v>12.47</v>
      </c>
      <c r="F178" s="5">
        <f t="shared" si="31"/>
        <v>11.91</v>
      </c>
      <c r="G178" s="5">
        <f t="shared" si="31"/>
        <v>11.99</v>
      </c>
      <c r="H178" s="5">
        <f t="shared" si="31"/>
        <v>11.75</v>
      </c>
      <c r="I178" s="5">
        <f t="shared" si="31"/>
        <v>11.28</v>
      </c>
      <c r="J178" s="5">
        <f t="shared" si="31"/>
        <v>11.02</v>
      </c>
      <c r="K178" s="5">
        <f t="shared" si="31"/>
        <v>10.74</v>
      </c>
      <c r="L178" s="5">
        <f t="shared" si="31"/>
        <v>10.32</v>
      </c>
      <c r="M178" s="5">
        <f t="shared" si="31"/>
        <v>10.27</v>
      </c>
      <c r="N178" s="5">
        <f t="shared" si="31"/>
        <v>9.92</v>
      </c>
      <c r="O178" s="5">
        <f t="shared" si="31"/>
        <v>9.55</v>
      </c>
      <c r="P178" s="5">
        <f t="shared" si="31"/>
        <v>9.13</v>
      </c>
      <c r="Q178" s="5">
        <f t="shared" si="31"/>
        <v>7.87</v>
      </c>
      <c r="R178" s="5">
        <f t="shared" si="31"/>
        <v>6.17</v>
      </c>
      <c r="S178" s="5">
        <f t="shared" si="30"/>
        <v>5.63</v>
      </c>
      <c r="T178" s="5">
        <f t="shared" si="30"/>
        <v>4.46</v>
      </c>
      <c r="U178" s="5">
        <f t="shared" si="30"/>
        <v>3.28</v>
      </c>
      <c r="V178" s="5">
        <f t="shared" si="30"/>
        <v>3.1</v>
      </c>
      <c r="W178" s="5">
        <f t="shared" si="30"/>
        <v>2.59</v>
      </c>
      <c r="X178" s="5">
        <f t="shared" si="30"/>
        <v>2.32</v>
      </c>
      <c r="Y178" s="5">
        <f t="shared" si="30"/>
        <v>2.05</v>
      </c>
      <c r="Z178" s="5">
        <f t="shared" si="30"/>
        <v>2.01</v>
      </c>
      <c r="AA178" s="5">
        <f t="shared" si="30"/>
        <v>1.84</v>
      </c>
      <c r="AB178" s="5">
        <f t="shared" si="30"/>
        <v>1.59</v>
      </c>
      <c r="AC178" s="5">
        <f t="shared" si="30"/>
        <v>1.38</v>
      </c>
      <c r="AD178" s="5">
        <f t="shared" si="30"/>
        <v>1.35</v>
      </c>
      <c r="AE178" s="5">
        <f t="shared" si="30"/>
        <v>1.21</v>
      </c>
      <c r="AF178" s="5">
        <f t="shared" si="30"/>
        <v>1.17</v>
      </c>
      <c r="AG178" s="5">
        <f t="shared" si="30"/>
        <v>1.14</v>
      </c>
      <c r="AH178" s="5">
        <f t="shared" si="27"/>
        <v>1.04</v>
      </c>
      <c r="AI178" s="5">
        <f t="shared" si="27"/>
        <v>0.98</v>
      </c>
      <c r="AJ178" s="5">
        <f t="shared" si="27"/>
        <v>0.95</v>
      </c>
    </row>
    <row r="179" spans="1:36">
      <c r="A179" t="str">
        <f>"primary_archetype_"&amp;TEXT(ROUND(Table213[[#This Row],[2016]],1),"0.0")</f>
        <v>primary_archetype_12.6</v>
      </c>
      <c r="B179" s="5">
        <f t="shared" si="24"/>
        <v>12.6</v>
      </c>
      <c r="C179" s="5">
        <f t="shared" si="31"/>
        <v>12.6</v>
      </c>
      <c r="D179" s="5">
        <f t="shared" si="31"/>
        <v>12.6</v>
      </c>
      <c r="E179" s="5">
        <f t="shared" si="31"/>
        <v>12.37</v>
      </c>
      <c r="F179" s="5">
        <f t="shared" si="31"/>
        <v>11.82</v>
      </c>
      <c r="G179" s="5">
        <f t="shared" si="31"/>
        <v>11.9</v>
      </c>
      <c r="H179" s="5">
        <f t="shared" si="31"/>
        <v>11.66</v>
      </c>
      <c r="I179" s="5">
        <f t="shared" si="31"/>
        <v>11.19</v>
      </c>
      <c r="J179" s="5">
        <f t="shared" si="31"/>
        <v>10.93</v>
      </c>
      <c r="K179" s="5">
        <f t="shared" si="31"/>
        <v>10.66</v>
      </c>
      <c r="L179" s="5">
        <f t="shared" si="31"/>
        <v>10.24</v>
      </c>
      <c r="M179" s="5">
        <f t="shared" si="31"/>
        <v>10.19</v>
      </c>
      <c r="N179" s="5">
        <f t="shared" si="31"/>
        <v>9.84</v>
      </c>
      <c r="O179" s="5">
        <f t="shared" si="31"/>
        <v>9.48</v>
      </c>
      <c r="P179" s="5">
        <f t="shared" si="31"/>
        <v>9.06</v>
      </c>
      <c r="Q179" s="5">
        <f t="shared" si="31"/>
        <v>7.81</v>
      </c>
      <c r="R179" s="5">
        <f t="shared" si="31"/>
        <v>6.13</v>
      </c>
      <c r="S179" s="5">
        <f t="shared" si="30"/>
        <v>5.6</v>
      </c>
      <c r="T179" s="5">
        <f t="shared" si="30"/>
        <v>4.43</v>
      </c>
      <c r="U179" s="5">
        <f t="shared" si="30"/>
        <v>3.26</v>
      </c>
      <c r="V179" s="5">
        <f t="shared" si="30"/>
        <v>3.09</v>
      </c>
      <c r="W179" s="5">
        <f t="shared" si="30"/>
        <v>2.57</v>
      </c>
      <c r="X179" s="5">
        <f t="shared" si="30"/>
        <v>2.31</v>
      </c>
      <c r="Y179" s="5">
        <f t="shared" si="30"/>
        <v>2.04</v>
      </c>
      <c r="Z179" s="5">
        <f t="shared" si="30"/>
        <v>2</v>
      </c>
      <c r="AA179" s="5">
        <f t="shared" si="30"/>
        <v>1.83</v>
      </c>
      <c r="AB179" s="5">
        <f t="shared" si="30"/>
        <v>1.58</v>
      </c>
      <c r="AC179" s="5">
        <f t="shared" si="30"/>
        <v>1.38</v>
      </c>
      <c r="AD179" s="5">
        <f t="shared" si="30"/>
        <v>1.35</v>
      </c>
      <c r="AE179" s="5">
        <f t="shared" si="30"/>
        <v>1.21</v>
      </c>
      <c r="AF179" s="5">
        <f t="shared" si="30"/>
        <v>1.17</v>
      </c>
      <c r="AG179" s="5">
        <f t="shared" si="30"/>
        <v>1.14</v>
      </c>
      <c r="AH179" s="5">
        <f t="shared" si="27"/>
        <v>1.04</v>
      </c>
      <c r="AI179" s="5">
        <f t="shared" si="27"/>
        <v>0.98</v>
      </c>
      <c r="AJ179" s="5">
        <f t="shared" si="27"/>
        <v>0.95</v>
      </c>
    </row>
    <row r="180" spans="1:36">
      <c r="A180" t="str">
        <f>"primary_archetype_"&amp;TEXT(ROUND(Table213[[#This Row],[2016]],1),"0.0")</f>
        <v>primary_archetype_12.5</v>
      </c>
      <c r="B180" s="5">
        <f t="shared" si="24"/>
        <v>12.5</v>
      </c>
      <c r="C180" s="5">
        <f t="shared" si="31"/>
        <v>12.5</v>
      </c>
      <c r="D180" s="5">
        <f t="shared" si="31"/>
        <v>12.5</v>
      </c>
      <c r="E180" s="5">
        <f t="shared" si="31"/>
        <v>12.27</v>
      </c>
      <c r="F180" s="5">
        <f t="shared" si="31"/>
        <v>11.72</v>
      </c>
      <c r="G180" s="5">
        <f t="shared" si="31"/>
        <v>11.8</v>
      </c>
      <c r="H180" s="5">
        <f t="shared" si="31"/>
        <v>11.56</v>
      </c>
      <c r="I180" s="5">
        <f t="shared" si="31"/>
        <v>11.1</v>
      </c>
      <c r="J180" s="5">
        <f t="shared" si="31"/>
        <v>10.84</v>
      </c>
      <c r="K180" s="5">
        <f t="shared" si="31"/>
        <v>10.58</v>
      </c>
      <c r="L180" s="5">
        <f t="shared" si="31"/>
        <v>10.16</v>
      </c>
      <c r="M180" s="5">
        <f t="shared" si="31"/>
        <v>10.11</v>
      </c>
      <c r="N180" s="5">
        <f t="shared" si="31"/>
        <v>9.76</v>
      </c>
      <c r="O180" s="5">
        <f t="shared" si="31"/>
        <v>9.41</v>
      </c>
      <c r="P180" s="5">
        <f t="shared" si="31"/>
        <v>8.99</v>
      </c>
      <c r="Q180" s="5">
        <f t="shared" si="31"/>
        <v>7.75</v>
      </c>
      <c r="R180" s="5">
        <f t="shared" si="31"/>
        <v>6.09</v>
      </c>
      <c r="S180" s="5">
        <f t="shared" si="30"/>
        <v>5.56</v>
      </c>
      <c r="T180" s="5">
        <f t="shared" si="30"/>
        <v>4.4</v>
      </c>
      <c r="U180" s="5">
        <f t="shared" si="30"/>
        <v>3.24</v>
      </c>
      <c r="V180" s="5">
        <f t="shared" si="30"/>
        <v>3.07</v>
      </c>
      <c r="W180" s="5">
        <f t="shared" si="30"/>
        <v>2.56</v>
      </c>
      <c r="X180" s="5">
        <f t="shared" si="30"/>
        <v>2.3</v>
      </c>
      <c r="Y180" s="5">
        <f t="shared" si="30"/>
        <v>2.03</v>
      </c>
      <c r="Z180" s="5">
        <f t="shared" si="30"/>
        <v>1.99</v>
      </c>
      <c r="AA180" s="5">
        <f t="shared" si="30"/>
        <v>1.82</v>
      </c>
      <c r="AB180" s="5">
        <f t="shared" si="30"/>
        <v>1.58</v>
      </c>
      <c r="AC180" s="5">
        <f t="shared" si="30"/>
        <v>1.38</v>
      </c>
      <c r="AD180" s="5">
        <f t="shared" si="30"/>
        <v>1.34</v>
      </c>
      <c r="AE180" s="5">
        <f t="shared" si="30"/>
        <v>1.21</v>
      </c>
      <c r="AF180" s="5">
        <f t="shared" si="30"/>
        <v>1.17</v>
      </c>
      <c r="AG180" s="5">
        <f t="shared" si="30"/>
        <v>1.14</v>
      </c>
      <c r="AH180" s="5">
        <f t="shared" si="27"/>
        <v>1.04</v>
      </c>
      <c r="AI180" s="5">
        <f t="shared" si="27"/>
        <v>0.98</v>
      </c>
      <c r="AJ180" s="5">
        <f t="shared" si="27"/>
        <v>0.95</v>
      </c>
    </row>
    <row r="181" spans="1:36">
      <c r="A181" t="str">
        <f>"primary_archetype_"&amp;TEXT(ROUND(Table213[[#This Row],[2016]],1),"0.0")</f>
        <v>primary_archetype_12.4</v>
      </c>
      <c r="B181" s="5">
        <f t="shared" si="24"/>
        <v>12.4</v>
      </c>
      <c r="C181" s="5">
        <f t="shared" si="31"/>
        <v>12.4</v>
      </c>
      <c r="D181" s="5">
        <f t="shared" si="31"/>
        <v>12.4</v>
      </c>
      <c r="E181" s="5">
        <f t="shared" si="31"/>
        <v>12.18</v>
      </c>
      <c r="F181" s="5">
        <f t="shared" si="31"/>
        <v>11.63</v>
      </c>
      <c r="G181" s="5">
        <f t="shared" si="31"/>
        <v>11.71</v>
      </c>
      <c r="H181" s="5">
        <f t="shared" si="31"/>
        <v>11.47</v>
      </c>
      <c r="I181" s="5">
        <f t="shared" si="31"/>
        <v>11.01</v>
      </c>
      <c r="J181" s="5">
        <f t="shared" si="31"/>
        <v>10.76</v>
      </c>
      <c r="K181" s="5">
        <f t="shared" si="31"/>
        <v>10.5</v>
      </c>
      <c r="L181" s="5">
        <f t="shared" si="31"/>
        <v>10.08</v>
      </c>
      <c r="M181" s="5">
        <f t="shared" si="31"/>
        <v>10.03</v>
      </c>
      <c r="N181" s="5">
        <f t="shared" si="31"/>
        <v>9.69</v>
      </c>
      <c r="O181" s="5">
        <f t="shared" si="31"/>
        <v>9.33</v>
      </c>
      <c r="P181" s="5">
        <f t="shared" si="31"/>
        <v>8.92</v>
      </c>
      <c r="Q181" s="5">
        <f t="shared" si="31"/>
        <v>7.69</v>
      </c>
      <c r="R181" s="5">
        <f t="shared" si="31"/>
        <v>6.04</v>
      </c>
      <c r="S181" s="5">
        <f t="shared" si="30"/>
        <v>5.52</v>
      </c>
      <c r="T181" s="5">
        <f t="shared" si="30"/>
        <v>4.37</v>
      </c>
      <c r="U181" s="5">
        <f t="shared" si="30"/>
        <v>3.22</v>
      </c>
      <c r="V181" s="5">
        <f t="shared" si="30"/>
        <v>3.05</v>
      </c>
      <c r="W181" s="5">
        <f t="shared" si="30"/>
        <v>2.55</v>
      </c>
      <c r="X181" s="5">
        <f t="shared" si="30"/>
        <v>2.29</v>
      </c>
      <c r="Y181" s="5">
        <f t="shared" si="30"/>
        <v>2.02</v>
      </c>
      <c r="Z181" s="5">
        <f t="shared" si="30"/>
        <v>1.98</v>
      </c>
      <c r="AA181" s="5">
        <f t="shared" si="30"/>
        <v>1.82</v>
      </c>
      <c r="AB181" s="5">
        <f t="shared" si="30"/>
        <v>1.57</v>
      </c>
      <c r="AC181" s="5">
        <f t="shared" si="30"/>
        <v>1.37</v>
      </c>
      <c r="AD181" s="5">
        <f t="shared" si="30"/>
        <v>1.34</v>
      </c>
      <c r="AE181" s="5">
        <f t="shared" si="30"/>
        <v>1.21</v>
      </c>
      <c r="AF181" s="5">
        <f t="shared" si="30"/>
        <v>1.17</v>
      </c>
      <c r="AG181" s="5">
        <f t="shared" si="30"/>
        <v>1.14</v>
      </c>
      <c r="AH181" s="5">
        <f t="shared" si="27"/>
        <v>1.04</v>
      </c>
      <c r="AI181" s="5">
        <f t="shared" si="27"/>
        <v>0.98</v>
      </c>
      <c r="AJ181" s="5">
        <f t="shared" si="27"/>
        <v>0.95</v>
      </c>
    </row>
    <row r="182" spans="1:36">
      <c r="A182" t="str">
        <f>"primary_archetype_"&amp;TEXT(ROUND(Table213[[#This Row],[2016]],1),"0.0")</f>
        <v>primary_archetype_12.3</v>
      </c>
      <c r="B182" s="5">
        <f t="shared" si="24"/>
        <v>12.3</v>
      </c>
      <c r="C182" s="5">
        <f t="shared" si="31"/>
        <v>12.3</v>
      </c>
      <c r="D182" s="5">
        <f t="shared" si="31"/>
        <v>12.3</v>
      </c>
      <c r="E182" s="5">
        <f t="shared" si="31"/>
        <v>12.08</v>
      </c>
      <c r="F182" s="5">
        <f t="shared" si="31"/>
        <v>11.54</v>
      </c>
      <c r="G182" s="5">
        <f t="shared" si="31"/>
        <v>11.61</v>
      </c>
      <c r="H182" s="5">
        <f t="shared" si="31"/>
        <v>11.38</v>
      </c>
      <c r="I182" s="5">
        <f t="shared" si="31"/>
        <v>10.93</v>
      </c>
      <c r="J182" s="5">
        <f t="shared" si="31"/>
        <v>10.67</v>
      </c>
      <c r="K182" s="5">
        <f t="shared" si="31"/>
        <v>10.41</v>
      </c>
      <c r="L182" s="5">
        <f t="shared" si="31"/>
        <v>10</v>
      </c>
      <c r="M182" s="5">
        <f t="shared" si="31"/>
        <v>9.95</v>
      </c>
      <c r="N182" s="5">
        <f t="shared" si="31"/>
        <v>9.61</v>
      </c>
      <c r="O182" s="5">
        <f t="shared" si="31"/>
        <v>9.26</v>
      </c>
      <c r="P182" s="5">
        <f t="shared" si="31"/>
        <v>8.85</v>
      </c>
      <c r="Q182" s="5">
        <f t="shared" si="31"/>
        <v>7.64</v>
      </c>
      <c r="R182" s="5">
        <f t="shared" si="31"/>
        <v>6</v>
      </c>
      <c r="S182" s="5">
        <f t="shared" si="30"/>
        <v>5.48</v>
      </c>
      <c r="T182" s="5">
        <f t="shared" si="30"/>
        <v>4.34</v>
      </c>
      <c r="U182" s="5">
        <f t="shared" si="30"/>
        <v>3.2</v>
      </c>
      <c r="V182" s="5">
        <f t="shared" si="30"/>
        <v>3.03</v>
      </c>
      <c r="W182" s="5">
        <f t="shared" si="30"/>
        <v>2.53</v>
      </c>
      <c r="X182" s="5">
        <f t="shared" si="30"/>
        <v>2.28</v>
      </c>
      <c r="Y182" s="5">
        <f t="shared" si="30"/>
        <v>2.01</v>
      </c>
      <c r="Z182" s="5">
        <f t="shared" si="30"/>
        <v>1.97</v>
      </c>
      <c r="AA182" s="5">
        <f t="shared" si="30"/>
        <v>1.81</v>
      </c>
      <c r="AB182" s="5">
        <f t="shared" si="30"/>
        <v>1.57</v>
      </c>
      <c r="AC182" s="5">
        <f t="shared" si="30"/>
        <v>1.37</v>
      </c>
      <c r="AD182" s="5">
        <f t="shared" si="30"/>
        <v>1.34</v>
      </c>
      <c r="AE182" s="5">
        <f t="shared" si="30"/>
        <v>1.21</v>
      </c>
      <c r="AF182" s="5">
        <f t="shared" si="30"/>
        <v>1.17</v>
      </c>
      <c r="AG182" s="5">
        <f t="shared" si="30"/>
        <v>1.14</v>
      </c>
      <c r="AH182" s="5">
        <f t="shared" si="27"/>
        <v>1.04</v>
      </c>
      <c r="AI182" s="5">
        <f t="shared" si="27"/>
        <v>0.98</v>
      </c>
      <c r="AJ182" s="5">
        <f t="shared" si="27"/>
        <v>0.95</v>
      </c>
    </row>
    <row r="183" spans="1:36">
      <c r="A183" t="str">
        <f>"primary_archetype_"&amp;TEXT(ROUND(Table213[[#This Row],[2016]],1),"0.0")</f>
        <v>primary_archetype_12.2</v>
      </c>
      <c r="B183" s="5">
        <f t="shared" si="24"/>
        <v>12.2</v>
      </c>
      <c r="C183" s="5">
        <f t="shared" si="31"/>
        <v>12.2</v>
      </c>
      <c r="D183" s="5">
        <f t="shared" si="31"/>
        <v>12.2</v>
      </c>
      <c r="E183" s="5">
        <f t="shared" si="31"/>
        <v>11.98</v>
      </c>
      <c r="F183" s="5">
        <f t="shared" si="31"/>
        <v>11.44</v>
      </c>
      <c r="G183" s="5">
        <f t="shared" si="31"/>
        <v>11.52</v>
      </c>
      <c r="H183" s="5">
        <f t="shared" si="31"/>
        <v>11.29</v>
      </c>
      <c r="I183" s="5">
        <f t="shared" si="31"/>
        <v>10.84</v>
      </c>
      <c r="J183" s="5">
        <f t="shared" si="31"/>
        <v>10.59</v>
      </c>
      <c r="K183" s="5">
        <f t="shared" si="31"/>
        <v>10.33</v>
      </c>
      <c r="L183" s="5">
        <f t="shared" si="31"/>
        <v>9.92</v>
      </c>
      <c r="M183" s="5">
        <f t="shared" si="31"/>
        <v>9.87</v>
      </c>
      <c r="N183" s="5">
        <f t="shared" si="31"/>
        <v>9.54</v>
      </c>
      <c r="O183" s="5">
        <f t="shared" si="31"/>
        <v>9.19</v>
      </c>
      <c r="P183" s="5">
        <f t="shared" si="31"/>
        <v>8.78</v>
      </c>
      <c r="Q183" s="5">
        <f t="shared" si="31"/>
        <v>7.58</v>
      </c>
      <c r="R183" s="5">
        <f t="shared" si="31"/>
        <v>5.95</v>
      </c>
      <c r="S183" s="5">
        <f t="shared" si="30"/>
        <v>5.44</v>
      </c>
      <c r="T183" s="5">
        <f t="shared" si="30"/>
        <v>4.31</v>
      </c>
      <c r="U183" s="5">
        <f t="shared" si="30"/>
        <v>3.18</v>
      </c>
      <c r="V183" s="5">
        <f t="shared" si="30"/>
        <v>3.02</v>
      </c>
      <c r="W183" s="5">
        <f t="shared" si="30"/>
        <v>2.52</v>
      </c>
      <c r="X183" s="5">
        <f t="shared" si="30"/>
        <v>2.27</v>
      </c>
      <c r="Y183" s="5">
        <f t="shared" si="30"/>
        <v>2.01</v>
      </c>
      <c r="Z183" s="5">
        <f t="shared" si="30"/>
        <v>1.97</v>
      </c>
      <c r="AA183" s="5">
        <f t="shared" si="30"/>
        <v>1.8</v>
      </c>
      <c r="AB183" s="5">
        <f t="shared" si="30"/>
        <v>1.56</v>
      </c>
      <c r="AC183" s="5">
        <f t="shared" si="30"/>
        <v>1.37</v>
      </c>
      <c r="AD183" s="5">
        <f t="shared" si="30"/>
        <v>1.34</v>
      </c>
      <c r="AE183" s="5">
        <f t="shared" si="30"/>
        <v>1.2</v>
      </c>
      <c r="AF183" s="5">
        <f t="shared" si="30"/>
        <v>1.17</v>
      </c>
      <c r="AG183" s="5">
        <f t="shared" si="30"/>
        <v>1.14</v>
      </c>
      <c r="AH183" s="5">
        <f t="shared" si="27"/>
        <v>1.04</v>
      </c>
      <c r="AI183" s="5">
        <f t="shared" si="27"/>
        <v>0.98</v>
      </c>
      <c r="AJ183" s="5">
        <f t="shared" si="27"/>
        <v>0.95</v>
      </c>
    </row>
    <row r="184" spans="1:36">
      <c r="A184" t="str">
        <f>"primary_archetype_"&amp;TEXT(ROUND(Table213[[#This Row],[2016]],1),"0.0")</f>
        <v>primary_archetype_12.1</v>
      </c>
      <c r="B184" s="5">
        <f t="shared" si="24"/>
        <v>12.1</v>
      </c>
      <c r="C184" s="5">
        <f t="shared" si="31"/>
        <v>12.1</v>
      </c>
      <c r="D184" s="5">
        <f t="shared" si="31"/>
        <v>12.1</v>
      </c>
      <c r="E184" s="5">
        <f t="shared" si="31"/>
        <v>11.88</v>
      </c>
      <c r="F184" s="5">
        <f t="shared" si="31"/>
        <v>11.35</v>
      </c>
      <c r="G184" s="5">
        <f t="shared" si="31"/>
        <v>11.43</v>
      </c>
      <c r="H184" s="5">
        <f t="shared" si="31"/>
        <v>11.2</v>
      </c>
      <c r="I184" s="5">
        <f t="shared" si="31"/>
        <v>10.75</v>
      </c>
      <c r="J184" s="5">
        <f t="shared" si="31"/>
        <v>10.5</v>
      </c>
      <c r="K184" s="5">
        <f t="shared" si="31"/>
        <v>10.25</v>
      </c>
      <c r="L184" s="5">
        <f t="shared" si="31"/>
        <v>9.84</v>
      </c>
      <c r="M184" s="5">
        <f t="shared" si="31"/>
        <v>9.79</v>
      </c>
      <c r="N184" s="5">
        <f t="shared" si="31"/>
        <v>9.46</v>
      </c>
      <c r="O184" s="5">
        <f t="shared" si="31"/>
        <v>9.12</v>
      </c>
      <c r="P184" s="5">
        <f t="shared" si="31"/>
        <v>8.71</v>
      </c>
      <c r="Q184" s="5">
        <f t="shared" si="31"/>
        <v>7.52</v>
      </c>
      <c r="R184" s="5">
        <f t="shared" si="31"/>
        <v>5.91</v>
      </c>
      <c r="S184" s="5">
        <f t="shared" si="30"/>
        <v>5.4</v>
      </c>
      <c r="T184" s="5">
        <f t="shared" si="30"/>
        <v>4.28</v>
      </c>
      <c r="U184" s="5">
        <f t="shared" si="30"/>
        <v>3.16</v>
      </c>
      <c r="V184" s="5">
        <f t="shared" si="30"/>
        <v>3</v>
      </c>
      <c r="W184" s="5">
        <f t="shared" si="30"/>
        <v>2.51</v>
      </c>
      <c r="X184" s="5">
        <f t="shared" si="30"/>
        <v>2.26</v>
      </c>
      <c r="Y184" s="5">
        <f t="shared" si="30"/>
        <v>2</v>
      </c>
      <c r="Z184" s="5">
        <f t="shared" si="30"/>
        <v>1.96</v>
      </c>
      <c r="AA184" s="5">
        <f t="shared" si="30"/>
        <v>1.79</v>
      </c>
      <c r="AB184" s="5">
        <f t="shared" si="30"/>
        <v>1.56</v>
      </c>
      <c r="AC184" s="5">
        <f t="shared" si="30"/>
        <v>1.37</v>
      </c>
      <c r="AD184" s="5">
        <f t="shared" si="30"/>
        <v>1.33</v>
      </c>
      <c r="AE184" s="5">
        <f t="shared" si="30"/>
        <v>1.2</v>
      </c>
      <c r="AF184" s="5">
        <f t="shared" si="30"/>
        <v>1.17</v>
      </c>
      <c r="AG184" s="5">
        <f t="shared" si="30"/>
        <v>1.14</v>
      </c>
      <c r="AH184" s="5">
        <f t="shared" si="27"/>
        <v>1.04</v>
      </c>
      <c r="AI184" s="5">
        <f t="shared" si="27"/>
        <v>0.98</v>
      </c>
      <c r="AJ184" s="5">
        <f t="shared" si="27"/>
        <v>0.95</v>
      </c>
    </row>
    <row r="185" spans="1:36">
      <c r="A185" t="str">
        <f>"primary_archetype_"&amp;TEXT(ROUND(Table213[[#This Row],[2016]],1),"0.0")</f>
        <v>primary_archetype_12.0</v>
      </c>
      <c r="B185" s="5">
        <f t="shared" si="24"/>
        <v>12</v>
      </c>
      <c r="C185" s="5">
        <f t="shared" si="31"/>
        <v>12</v>
      </c>
      <c r="D185" s="5">
        <f t="shared" si="31"/>
        <v>12</v>
      </c>
      <c r="E185" s="5">
        <f t="shared" si="31"/>
        <v>11.78</v>
      </c>
      <c r="F185" s="5">
        <f t="shared" si="31"/>
        <v>11.26</v>
      </c>
      <c r="G185" s="5">
        <f t="shared" si="31"/>
        <v>11.33</v>
      </c>
      <c r="H185" s="5">
        <f t="shared" si="31"/>
        <v>11.1</v>
      </c>
      <c r="I185" s="5">
        <f t="shared" si="31"/>
        <v>10.66</v>
      </c>
      <c r="J185" s="5">
        <f t="shared" si="31"/>
        <v>10.42</v>
      </c>
      <c r="K185" s="5">
        <f t="shared" si="31"/>
        <v>10.16</v>
      </c>
      <c r="L185" s="5">
        <f t="shared" si="31"/>
        <v>9.76</v>
      </c>
      <c r="M185" s="5">
        <f t="shared" si="31"/>
        <v>9.71</v>
      </c>
      <c r="N185" s="5">
        <f t="shared" si="31"/>
        <v>9.38</v>
      </c>
      <c r="O185" s="5">
        <f t="shared" si="31"/>
        <v>9.04</v>
      </c>
      <c r="P185" s="5">
        <f t="shared" si="31"/>
        <v>8.64</v>
      </c>
      <c r="Q185" s="5">
        <f t="shared" si="31"/>
        <v>7.46</v>
      </c>
      <c r="R185" s="5">
        <f t="shared" si="31"/>
        <v>5.87</v>
      </c>
      <c r="S185" s="5">
        <f t="shared" si="30"/>
        <v>5.36</v>
      </c>
      <c r="T185" s="5">
        <f t="shared" si="30"/>
        <v>4.25</v>
      </c>
      <c r="U185" s="5">
        <f t="shared" si="30"/>
        <v>3.14</v>
      </c>
      <c r="V185" s="5">
        <f t="shared" si="30"/>
        <v>2.98</v>
      </c>
      <c r="W185" s="5">
        <f t="shared" si="30"/>
        <v>2.49</v>
      </c>
      <c r="X185" s="5">
        <f t="shared" si="30"/>
        <v>2.25</v>
      </c>
      <c r="Y185" s="5">
        <f t="shared" si="30"/>
        <v>1.99</v>
      </c>
      <c r="Z185" s="5">
        <f t="shared" si="30"/>
        <v>1.95</v>
      </c>
      <c r="AA185" s="5">
        <f t="shared" si="30"/>
        <v>1.79</v>
      </c>
      <c r="AB185" s="5">
        <f t="shared" si="30"/>
        <v>1.55</v>
      </c>
      <c r="AC185" s="5">
        <f t="shared" si="30"/>
        <v>1.36</v>
      </c>
      <c r="AD185" s="5">
        <f t="shared" si="30"/>
        <v>1.33</v>
      </c>
      <c r="AE185" s="5">
        <f t="shared" si="30"/>
        <v>1.2</v>
      </c>
      <c r="AF185" s="5">
        <f t="shared" si="30"/>
        <v>1.17</v>
      </c>
      <c r="AG185" s="5">
        <f t="shared" si="30"/>
        <v>1.14</v>
      </c>
      <c r="AH185" s="5">
        <f t="shared" si="27"/>
        <v>1.04</v>
      </c>
      <c r="AI185" s="5">
        <f t="shared" si="27"/>
        <v>0.98</v>
      </c>
      <c r="AJ185" s="5">
        <f t="shared" si="27"/>
        <v>0.95</v>
      </c>
    </row>
    <row r="186" spans="1:36">
      <c r="A186" t="str">
        <f>"primary_archetype_"&amp;TEXT(ROUND(Table213[[#This Row],[2016]],1),"0.0")</f>
        <v>primary_archetype_11.9</v>
      </c>
      <c r="B186" s="5">
        <f t="shared" si="24"/>
        <v>11.9</v>
      </c>
      <c r="C186" s="5">
        <f t="shared" si="31"/>
        <v>11.9</v>
      </c>
      <c r="D186" s="5">
        <f t="shared" si="31"/>
        <v>11.9</v>
      </c>
      <c r="E186" s="5">
        <f t="shared" si="31"/>
        <v>11.69</v>
      </c>
      <c r="F186" s="5">
        <f t="shared" si="31"/>
        <v>11.17</v>
      </c>
      <c r="G186" s="5">
        <f t="shared" si="31"/>
        <v>11.24</v>
      </c>
      <c r="H186" s="5">
        <f t="shared" si="31"/>
        <v>11.01</v>
      </c>
      <c r="I186" s="5">
        <f t="shared" si="31"/>
        <v>10.58</v>
      </c>
      <c r="J186" s="5">
        <f t="shared" si="31"/>
        <v>10.33</v>
      </c>
      <c r="K186" s="5">
        <f t="shared" si="31"/>
        <v>10.08</v>
      </c>
      <c r="L186" s="5">
        <f t="shared" si="31"/>
        <v>9.68</v>
      </c>
      <c r="M186" s="5">
        <f t="shared" si="31"/>
        <v>9.63</v>
      </c>
      <c r="N186" s="5">
        <f t="shared" si="31"/>
        <v>9.31</v>
      </c>
      <c r="O186" s="5">
        <f t="shared" si="31"/>
        <v>8.97</v>
      </c>
      <c r="P186" s="5">
        <f t="shared" si="31"/>
        <v>8.57</v>
      </c>
      <c r="Q186" s="5">
        <f t="shared" si="31"/>
        <v>7.4</v>
      </c>
      <c r="R186" s="5">
        <f t="shared" si="31"/>
        <v>5.82</v>
      </c>
      <c r="S186" s="5">
        <f t="shared" si="30"/>
        <v>5.32</v>
      </c>
      <c r="T186" s="5">
        <f t="shared" si="30"/>
        <v>4.23</v>
      </c>
      <c r="U186" s="5">
        <f t="shared" si="30"/>
        <v>3.12</v>
      </c>
      <c r="V186" s="5">
        <f t="shared" si="30"/>
        <v>2.96</v>
      </c>
      <c r="W186" s="5">
        <f t="shared" si="30"/>
        <v>2.48</v>
      </c>
      <c r="X186" s="5">
        <f t="shared" si="30"/>
        <v>2.23</v>
      </c>
      <c r="Y186" s="5">
        <f t="shared" si="30"/>
        <v>1.98</v>
      </c>
      <c r="Z186" s="5">
        <f t="shared" si="30"/>
        <v>1.94</v>
      </c>
      <c r="AA186" s="5">
        <f t="shared" si="30"/>
        <v>1.78</v>
      </c>
      <c r="AB186" s="5">
        <f t="shared" si="30"/>
        <v>1.55</v>
      </c>
      <c r="AC186" s="5">
        <f t="shared" si="30"/>
        <v>1.36</v>
      </c>
      <c r="AD186" s="5">
        <f t="shared" si="30"/>
        <v>1.33</v>
      </c>
      <c r="AE186" s="5">
        <f t="shared" si="30"/>
        <v>1.2</v>
      </c>
      <c r="AF186" s="5">
        <f t="shared" si="30"/>
        <v>1.16</v>
      </c>
      <c r="AG186" s="5">
        <f t="shared" si="30"/>
        <v>1.14</v>
      </c>
      <c r="AH186" s="5">
        <f t="shared" si="27"/>
        <v>1.04</v>
      </c>
      <c r="AI186" s="5">
        <f t="shared" si="27"/>
        <v>0.98</v>
      </c>
      <c r="AJ186" s="5">
        <f t="shared" si="27"/>
        <v>0.95</v>
      </c>
    </row>
    <row r="187" spans="1:36">
      <c r="A187" t="str">
        <f>"primary_archetype_"&amp;TEXT(ROUND(Table213[[#This Row],[2016]],1),"0.0")</f>
        <v>primary_archetype_11.8</v>
      </c>
      <c r="B187" s="5">
        <f t="shared" si="24"/>
        <v>11.8</v>
      </c>
      <c r="C187" s="5">
        <f t="shared" si="31"/>
        <v>11.8</v>
      </c>
      <c r="D187" s="5">
        <f t="shared" si="31"/>
        <v>11.8</v>
      </c>
      <c r="E187" s="5">
        <f t="shared" si="31"/>
        <v>11.59</v>
      </c>
      <c r="F187" s="5">
        <f t="shared" si="31"/>
        <v>11.07</v>
      </c>
      <c r="G187" s="5">
        <f t="shared" si="31"/>
        <v>11.14</v>
      </c>
      <c r="H187" s="5">
        <f t="shared" si="31"/>
        <v>10.92</v>
      </c>
      <c r="I187" s="5">
        <f t="shared" si="31"/>
        <v>10.49</v>
      </c>
      <c r="J187" s="5">
        <f t="shared" si="31"/>
        <v>10.25</v>
      </c>
      <c r="K187" s="5">
        <f t="shared" si="31"/>
        <v>10</v>
      </c>
      <c r="L187" s="5">
        <f t="shared" si="31"/>
        <v>9.6</v>
      </c>
      <c r="M187" s="5">
        <f t="shared" si="31"/>
        <v>9.55</v>
      </c>
      <c r="N187" s="5">
        <f t="shared" si="31"/>
        <v>9.23</v>
      </c>
      <c r="O187" s="5">
        <f t="shared" si="31"/>
        <v>8.9</v>
      </c>
      <c r="P187" s="5">
        <f t="shared" si="31"/>
        <v>8.5</v>
      </c>
      <c r="Q187" s="5">
        <f t="shared" si="31"/>
        <v>7.34</v>
      </c>
      <c r="R187" s="5">
        <f t="shared" si="31"/>
        <v>5.78</v>
      </c>
      <c r="S187" s="5">
        <f t="shared" si="30"/>
        <v>5.28</v>
      </c>
      <c r="T187" s="5">
        <f t="shared" si="30"/>
        <v>4.2</v>
      </c>
      <c r="U187" s="5">
        <f t="shared" si="30"/>
        <v>3.1</v>
      </c>
      <c r="V187" s="5">
        <f t="shared" si="30"/>
        <v>2.95</v>
      </c>
      <c r="W187" s="5">
        <f t="shared" si="30"/>
        <v>2.47</v>
      </c>
      <c r="X187" s="5">
        <f t="shared" si="30"/>
        <v>2.22</v>
      </c>
      <c r="Y187" s="5">
        <f t="shared" si="30"/>
        <v>1.97</v>
      </c>
      <c r="Z187" s="5">
        <f t="shared" si="30"/>
        <v>1.93</v>
      </c>
      <c r="AA187" s="5">
        <f t="shared" si="30"/>
        <v>1.77</v>
      </c>
      <c r="AB187" s="5">
        <f t="shared" si="30"/>
        <v>1.54</v>
      </c>
      <c r="AC187" s="5">
        <f t="shared" si="30"/>
        <v>1.36</v>
      </c>
      <c r="AD187" s="5">
        <f t="shared" si="30"/>
        <v>1.33</v>
      </c>
      <c r="AE187" s="5">
        <f t="shared" si="30"/>
        <v>1.2</v>
      </c>
      <c r="AF187" s="5">
        <f t="shared" si="30"/>
        <v>1.16</v>
      </c>
      <c r="AG187" s="5">
        <f t="shared" si="30"/>
        <v>1.14</v>
      </c>
      <c r="AH187" s="5">
        <f t="shared" si="27"/>
        <v>1.04</v>
      </c>
      <c r="AI187" s="5">
        <f t="shared" si="27"/>
        <v>0.98</v>
      </c>
      <c r="AJ187" s="5">
        <f t="shared" si="27"/>
        <v>0.95</v>
      </c>
    </row>
    <row r="188" spans="1:36">
      <c r="A188" t="str">
        <f>"primary_archetype_"&amp;TEXT(ROUND(Table213[[#This Row],[2016]],1),"0.0")</f>
        <v>primary_archetype_11.7</v>
      </c>
      <c r="B188" s="5">
        <f t="shared" si="24"/>
        <v>11.7</v>
      </c>
      <c r="C188" s="5">
        <f t="shared" si="31"/>
        <v>11.7</v>
      </c>
      <c r="D188" s="5">
        <f t="shared" si="31"/>
        <v>11.7</v>
      </c>
      <c r="E188" s="5">
        <f t="shared" si="31"/>
        <v>11.49</v>
      </c>
      <c r="F188" s="5">
        <f t="shared" si="31"/>
        <v>10.98</v>
      </c>
      <c r="G188" s="5">
        <f t="shared" si="31"/>
        <v>11.05</v>
      </c>
      <c r="H188" s="5">
        <f t="shared" si="31"/>
        <v>10.83</v>
      </c>
      <c r="I188" s="5">
        <f t="shared" si="31"/>
        <v>10.4</v>
      </c>
      <c r="J188" s="5">
        <f t="shared" si="31"/>
        <v>10.16</v>
      </c>
      <c r="K188" s="5">
        <f t="shared" si="31"/>
        <v>9.91</v>
      </c>
      <c r="L188" s="5">
        <f t="shared" si="31"/>
        <v>9.52</v>
      </c>
      <c r="M188" s="5">
        <f t="shared" si="31"/>
        <v>9.48</v>
      </c>
      <c r="N188" s="5">
        <f t="shared" si="31"/>
        <v>9.16</v>
      </c>
      <c r="O188" s="5">
        <f t="shared" si="31"/>
        <v>8.82</v>
      </c>
      <c r="P188" s="5">
        <f t="shared" si="31"/>
        <v>8.43</v>
      </c>
      <c r="Q188" s="5">
        <f t="shared" si="31"/>
        <v>7.28</v>
      </c>
      <c r="R188" s="5">
        <f t="shared" ref="R188:AG203" si="32">MROUND((($B188-$AH$2)*((R$2-$AH$2)/($B$2-$AH$2)))+$AH$2,0.01)</f>
        <v>5.73</v>
      </c>
      <c r="S188" s="5">
        <f t="shared" si="32"/>
        <v>5.24</v>
      </c>
      <c r="T188" s="5">
        <f t="shared" si="32"/>
        <v>4.17</v>
      </c>
      <c r="U188" s="5">
        <f t="shared" si="32"/>
        <v>3.08</v>
      </c>
      <c r="V188" s="5">
        <f t="shared" si="32"/>
        <v>2.93</v>
      </c>
      <c r="W188" s="5">
        <f t="shared" si="32"/>
        <v>2.45</v>
      </c>
      <c r="X188" s="5">
        <f t="shared" si="32"/>
        <v>2.21</v>
      </c>
      <c r="Y188" s="5">
        <f t="shared" si="32"/>
        <v>1.96</v>
      </c>
      <c r="Z188" s="5">
        <f t="shared" si="32"/>
        <v>1.92</v>
      </c>
      <c r="AA188" s="5">
        <f t="shared" si="32"/>
        <v>1.77</v>
      </c>
      <c r="AB188" s="5">
        <f t="shared" si="32"/>
        <v>1.54</v>
      </c>
      <c r="AC188" s="5">
        <f t="shared" si="32"/>
        <v>1.35</v>
      </c>
      <c r="AD188" s="5">
        <f t="shared" si="32"/>
        <v>1.32</v>
      </c>
      <c r="AE188" s="5">
        <f t="shared" si="32"/>
        <v>1.2</v>
      </c>
      <c r="AF188" s="5">
        <f t="shared" si="32"/>
        <v>1.16</v>
      </c>
      <c r="AG188" s="5">
        <f t="shared" si="32"/>
        <v>1.14</v>
      </c>
      <c r="AH188" s="5">
        <f t="shared" si="27"/>
        <v>1.04</v>
      </c>
      <c r="AI188" s="5">
        <f t="shared" si="27"/>
        <v>0.98</v>
      </c>
      <c r="AJ188" s="5">
        <f t="shared" si="27"/>
        <v>0.95</v>
      </c>
    </row>
    <row r="189" spans="1:36">
      <c r="A189" t="str">
        <f>"primary_archetype_"&amp;TEXT(ROUND(Table213[[#This Row],[2016]],1),"0.0")</f>
        <v>primary_archetype_11.6</v>
      </c>
      <c r="B189" s="5">
        <f t="shared" si="24"/>
        <v>11.6</v>
      </c>
      <c r="C189" s="5">
        <f t="shared" ref="C189:R204" si="33">MROUND((($B189-$AH$2)*((C$2-$AH$2)/($B$2-$AH$2)))+$AH$2,0.01)</f>
        <v>11.6</v>
      </c>
      <c r="D189" s="5">
        <f t="shared" si="33"/>
        <v>11.6</v>
      </c>
      <c r="E189" s="5">
        <f t="shared" si="33"/>
        <v>11.39</v>
      </c>
      <c r="F189" s="5">
        <f t="shared" si="33"/>
        <v>10.89</v>
      </c>
      <c r="G189" s="5">
        <f t="shared" si="33"/>
        <v>10.96</v>
      </c>
      <c r="H189" s="5">
        <f t="shared" si="33"/>
        <v>10.74</v>
      </c>
      <c r="I189" s="5">
        <f t="shared" si="33"/>
        <v>10.31</v>
      </c>
      <c r="J189" s="5">
        <f t="shared" si="33"/>
        <v>10.07</v>
      </c>
      <c r="K189" s="5">
        <f t="shared" si="33"/>
        <v>9.83</v>
      </c>
      <c r="L189" s="5">
        <f t="shared" si="33"/>
        <v>9.44</v>
      </c>
      <c r="M189" s="5">
        <f t="shared" si="33"/>
        <v>9.4</v>
      </c>
      <c r="N189" s="5">
        <f t="shared" si="33"/>
        <v>9.08</v>
      </c>
      <c r="O189" s="5">
        <f t="shared" si="33"/>
        <v>8.75</v>
      </c>
      <c r="P189" s="5">
        <f t="shared" si="33"/>
        <v>8.36</v>
      </c>
      <c r="Q189" s="5">
        <f t="shared" si="33"/>
        <v>7.22</v>
      </c>
      <c r="R189" s="5">
        <f t="shared" si="33"/>
        <v>5.69</v>
      </c>
      <c r="S189" s="5">
        <f t="shared" si="32"/>
        <v>5.2</v>
      </c>
      <c r="T189" s="5">
        <f t="shared" si="32"/>
        <v>4.14</v>
      </c>
      <c r="U189" s="5">
        <f t="shared" si="32"/>
        <v>3.07</v>
      </c>
      <c r="V189" s="5">
        <f t="shared" si="32"/>
        <v>2.91</v>
      </c>
      <c r="W189" s="5">
        <f t="shared" si="32"/>
        <v>2.44</v>
      </c>
      <c r="X189" s="5">
        <f t="shared" si="32"/>
        <v>2.2</v>
      </c>
      <c r="Y189" s="5">
        <f t="shared" si="32"/>
        <v>1.95</v>
      </c>
      <c r="Z189" s="5">
        <f t="shared" si="32"/>
        <v>1.92</v>
      </c>
      <c r="AA189" s="5">
        <f t="shared" si="32"/>
        <v>1.76</v>
      </c>
      <c r="AB189" s="5">
        <f t="shared" si="32"/>
        <v>1.54</v>
      </c>
      <c r="AC189" s="5">
        <f t="shared" si="32"/>
        <v>1.35</v>
      </c>
      <c r="AD189" s="5">
        <f t="shared" si="32"/>
        <v>1.32</v>
      </c>
      <c r="AE189" s="5">
        <f t="shared" si="32"/>
        <v>1.2</v>
      </c>
      <c r="AF189" s="5">
        <f t="shared" si="32"/>
        <v>1.16</v>
      </c>
      <c r="AG189" s="5">
        <f t="shared" si="32"/>
        <v>1.13</v>
      </c>
      <c r="AH189" s="5">
        <f t="shared" si="27"/>
        <v>1.04</v>
      </c>
      <c r="AI189" s="5">
        <f t="shared" si="27"/>
        <v>0.98</v>
      </c>
      <c r="AJ189" s="5">
        <f t="shared" si="27"/>
        <v>0.96</v>
      </c>
    </row>
    <row r="190" spans="1:36">
      <c r="A190" t="str">
        <f>"primary_archetype_"&amp;TEXT(ROUND(Table213[[#This Row],[2016]],1),"0.0")</f>
        <v>primary_archetype_11.5</v>
      </c>
      <c r="B190" s="5">
        <f t="shared" si="24"/>
        <v>11.5</v>
      </c>
      <c r="C190" s="5">
        <f t="shared" si="33"/>
        <v>11.5</v>
      </c>
      <c r="D190" s="5">
        <f t="shared" si="33"/>
        <v>11.5</v>
      </c>
      <c r="E190" s="5">
        <f t="shared" si="33"/>
        <v>11.29</v>
      </c>
      <c r="F190" s="5">
        <f t="shared" si="33"/>
        <v>10.79</v>
      </c>
      <c r="G190" s="5">
        <f t="shared" si="33"/>
        <v>10.86</v>
      </c>
      <c r="H190" s="5">
        <f t="shared" si="33"/>
        <v>10.65</v>
      </c>
      <c r="I190" s="5">
        <f t="shared" si="33"/>
        <v>10.22</v>
      </c>
      <c r="J190" s="5">
        <f t="shared" si="33"/>
        <v>9.99</v>
      </c>
      <c r="K190" s="5">
        <f t="shared" si="33"/>
        <v>9.75</v>
      </c>
      <c r="L190" s="5">
        <f t="shared" si="33"/>
        <v>9.36</v>
      </c>
      <c r="M190" s="5">
        <f t="shared" si="33"/>
        <v>9.32</v>
      </c>
      <c r="N190" s="5">
        <f t="shared" si="33"/>
        <v>9</v>
      </c>
      <c r="O190" s="5">
        <f t="shared" si="33"/>
        <v>8.68</v>
      </c>
      <c r="P190" s="5">
        <f t="shared" si="33"/>
        <v>8.29</v>
      </c>
      <c r="Q190" s="5">
        <f t="shared" si="33"/>
        <v>7.17</v>
      </c>
      <c r="R190" s="5">
        <f t="shared" si="33"/>
        <v>5.65</v>
      </c>
      <c r="S190" s="5">
        <f t="shared" si="32"/>
        <v>5.16</v>
      </c>
      <c r="T190" s="5">
        <f t="shared" si="32"/>
        <v>4.11</v>
      </c>
      <c r="U190" s="5">
        <f t="shared" si="32"/>
        <v>3.05</v>
      </c>
      <c r="V190" s="5">
        <f t="shared" si="32"/>
        <v>2.89</v>
      </c>
      <c r="W190" s="5">
        <f t="shared" si="32"/>
        <v>2.43</v>
      </c>
      <c r="X190" s="5">
        <f t="shared" si="32"/>
        <v>2.19</v>
      </c>
      <c r="Y190" s="5">
        <f t="shared" si="32"/>
        <v>1.95</v>
      </c>
      <c r="Z190" s="5">
        <f t="shared" si="32"/>
        <v>1.91</v>
      </c>
      <c r="AA190" s="5">
        <f t="shared" si="32"/>
        <v>1.75</v>
      </c>
      <c r="AB190" s="5">
        <f t="shared" si="32"/>
        <v>1.53</v>
      </c>
      <c r="AC190" s="5">
        <f t="shared" si="32"/>
        <v>1.35</v>
      </c>
      <c r="AD190" s="5">
        <f t="shared" si="32"/>
        <v>1.32</v>
      </c>
      <c r="AE190" s="5">
        <f t="shared" si="32"/>
        <v>1.19</v>
      </c>
      <c r="AF190" s="5">
        <f t="shared" si="32"/>
        <v>1.16</v>
      </c>
      <c r="AG190" s="5">
        <f t="shared" si="32"/>
        <v>1.13</v>
      </c>
      <c r="AH190" s="5">
        <f t="shared" si="27"/>
        <v>1.04</v>
      </c>
      <c r="AI190" s="5">
        <f t="shared" si="27"/>
        <v>0.98</v>
      </c>
      <c r="AJ190" s="5">
        <f t="shared" si="27"/>
        <v>0.96</v>
      </c>
    </row>
    <row r="191" spans="1:36">
      <c r="A191" t="str">
        <f>"primary_archetype_"&amp;TEXT(ROUND(Table213[[#This Row],[2016]],1),"0.0")</f>
        <v>primary_archetype_11.4</v>
      </c>
      <c r="B191" s="5">
        <f t="shared" si="24"/>
        <v>11.4</v>
      </c>
      <c r="C191" s="5">
        <f t="shared" si="33"/>
        <v>11.4</v>
      </c>
      <c r="D191" s="5">
        <f t="shared" si="33"/>
        <v>11.4</v>
      </c>
      <c r="E191" s="5">
        <f t="shared" si="33"/>
        <v>11.19</v>
      </c>
      <c r="F191" s="5">
        <f t="shared" si="33"/>
        <v>10.7</v>
      </c>
      <c r="G191" s="5">
        <f t="shared" si="33"/>
        <v>10.77</v>
      </c>
      <c r="H191" s="5">
        <f t="shared" si="33"/>
        <v>10.55</v>
      </c>
      <c r="I191" s="5">
        <f t="shared" si="33"/>
        <v>10.14</v>
      </c>
      <c r="J191" s="5">
        <f t="shared" si="33"/>
        <v>9.9</v>
      </c>
      <c r="K191" s="5">
        <f t="shared" si="33"/>
        <v>9.66</v>
      </c>
      <c r="L191" s="5">
        <f t="shared" si="33"/>
        <v>9.28</v>
      </c>
      <c r="M191" s="5">
        <f t="shared" si="33"/>
        <v>9.24</v>
      </c>
      <c r="N191" s="5">
        <f t="shared" si="33"/>
        <v>8.93</v>
      </c>
      <c r="O191" s="5">
        <f t="shared" si="33"/>
        <v>8.6</v>
      </c>
      <c r="P191" s="5">
        <f t="shared" si="33"/>
        <v>8.22</v>
      </c>
      <c r="Q191" s="5">
        <f t="shared" si="33"/>
        <v>7.11</v>
      </c>
      <c r="R191" s="5">
        <f t="shared" si="33"/>
        <v>5.6</v>
      </c>
      <c r="S191" s="5">
        <f t="shared" si="32"/>
        <v>5.12</v>
      </c>
      <c r="T191" s="5">
        <f t="shared" si="32"/>
        <v>4.08</v>
      </c>
      <c r="U191" s="5">
        <f t="shared" si="32"/>
        <v>3.03</v>
      </c>
      <c r="V191" s="5">
        <f t="shared" si="32"/>
        <v>2.87</v>
      </c>
      <c r="W191" s="5">
        <f t="shared" si="32"/>
        <v>2.41</v>
      </c>
      <c r="X191" s="5">
        <f t="shared" si="32"/>
        <v>2.18</v>
      </c>
      <c r="Y191" s="5">
        <f t="shared" si="32"/>
        <v>1.94</v>
      </c>
      <c r="Z191" s="5">
        <f t="shared" si="32"/>
        <v>1.9</v>
      </c>
      <c r="AA191" s="5">
        <f t="shared" si="32"/>
        <v>1.75</v>
      </c>
      <c r="AB191" s="5">
        <f t="shared" si="32"/>
        <v>1.53</v>
      </c>
      <c r="AC191" s="5">
        <f t="shared" si="32"/>
        <v>1.34</v>
      </c>
      <c r="AD191" s="5">
        <f t="shared" si="32"/>
        <v>1.31</v>
      </c>
      <c r="AE191" s="5">
        <f t="shared" si="32"/>
        <v>1.19</v>
      </c>
      <c r="AF191" s="5">
        <f t="shared" si="32"/>
        <v>1.16</v>
      </c>
      <c r="AG191" s="5">
        <f t="shared" si="32"/>
        <v>1.13</v>
      </c>
      <c r="AH191" s="5">
        <f t="shared" si="27"/>
        <v>1.04</v>
      </c>
      <c r="AI191" s="5">
        <f t="shared" si="27"/>
        <v>0.98</v>
      </c>
      <c r="AJ191" s="5">
        <f t="shared" si="27"/>
        <v>0.96</v>
      </c>
    </row>
    <row r="192" spans="1:36">
      <c r="A192" t="str">
        <f>"primary_archetype_"&amp;TEXT(ROUND(Table213[[#This Row],[2016]],1),"0.0")</f>
        <v>primary_archetype_11.3</v>
      </c>
      <c r="B192" s="5">
        <f t="shared" si="24"/>
        <v>11.3</v>
      </c>
      <c r="C192" s="5">
        <f t="shared" si="33"/>
        <v>11.3</v>
      </c>
      <c r="D192" s="5">
        <f t="shared" si="33"/>
        <v>11.3</v>
      </c>
      <c r="E192" s="5">
        <f t="shared" si="33"/>
        <v>11.1</v>
      </c>
      <c r="F192" s="5">
        <f t="shared" si="33"/>
        <v>10.61</v>
      </c>
      <c r="G192" s="5">
        <f t="shared" si="33"/>
        <v>10.67</v>
      </c>
      <c r="H192" s="5">
        <f t="shared" si="33"/>
        <v>10.46</v>
      </c>
      <c r="I192" s="5">
        <f t="shared" si="33"/>
        <v>10.05</v>
      </c>
      <c r="J192" s="5">
        <f t="shared" si="33"/>
        <v>9.82</v>
      </c>
      <c r="K192" s="5">
        <f t="shared" si="33"/>
        <v>9.58</v>
      </c>
      <c r="L192" s="5">
        <f t="shared" si="33"/>
        <v>9.2</v>
      </c>
      <c r="M192" s="5">
        <f t="shared" si="33"/>
        <v>9.16</v>
      </c>
      <c r="N192" s="5">
        <f t="shared" si="33"/>
        <v>8.85</v>
      </c>
      <c r="O192" s="5">
        <f t="shared" si="33"/>
        <v>8.53</v>
      </c>
      <c r="P192" s="5">
        <f t="shared" si="33"/>
        <v>8.15</v>
      </c>
      <c r="Q192" s="5">
        <f t="shared" si="33"/>
        <v>7.05</v>
      </c>
      <c r="R192" s="5">
        <f t="shared" si="33"/>
        <v>5.56</v>
      </c>
      <c r="S192" s="5">
        <f t="shared" si="32"/>
        <v>5.08</v>
      </c>
      <c r="T192" s="5">
        <f t="shared" si="32"/>
        <v>4.05</v>
      </c>
      <c r="U192" s="5">
        <f t="shared" si="32"/>
        <v>3.01</v>
      </c>
      <c r="V192" s="5">
        <f t="shared" si="32"/>
        <v>2.86</v>
      </c>
      <c r="W192" s="5">
        <f t="shared" si="32"/>
        <v>2.4</v>
      </c>
      <c r="X192" s="5">
        <f t="shared" si="32"/>
        <v>2.17</v>
      </c>
      <c r="Y192" s="5">
        <f t="shared" si="32"/>
        <v>1.93</v>
      </c>
      <c r="Z192" s="5">
        <f t="shared" si="32"/>
        <v>1.89</v>
      </c>
      <c r="AA192" s="5">
        <f t="shared" si="32"/>
        <v>1.74</v>
      </c>
      <c r="AB192" s="5">
        <f t="shared" si="32"/>
        <v>1.52</v>
      </c>
      <c r="AC192" s="5">
        <f t="shared" si="32"/>
        <v>1.34</v>
      </c>
      <c r="AD192" s="5">
        <f t="shared" si="32"/>
        <v>1.31</v>
      </c>
      <c r="AE192" s="5">
        <f t="shared" si="32"/>
        <v>1.19</v>
      </c>
      <c r="AF192" s="5">
        <f t="shared" si="32"/>
        <v>1.16</v>
      </c>
      <c r="AG192" s="5">
        <f t="shared" si="32"/>
        <v>1.13</v>
      </c>
      <c r="AH192" s="5">
        <f t="shared" si="27"/>
        <v>1.04</v>
      </c>
      <c r="AI192" s="5">
        <f t="shared" si="27"/>
        <v>0.98</v>
      </c>
      <c r="AJ192" s="5">
        <f t="shared" si="27"/>
        <v>0.96</v>
      </c>
    </row>
    <row r="193" spans="1:36">
      <c r="A193" t="str">
        <f>"primary_archetype_"&amp;TEXT(ROUND(Table213[[#This Row],[2016]],1),"0.0")</f>
        <v>primary_archetype_11.2</v>
      </c>
      <c r="B193" s="5">
        <f t="shared" si="24"/>
        <v>11.2</v>
      </c>
      <c r="C193" s="5">
        <f t="shared" si="33"/>
        <v>11.2</v>
      </c>
      <c r="D193" s="5">
        <f t="shared" si="33"/>
        <v>11.2</v>
      </c>
      <c r="E193" s="5">
        <f t="shared" si="33"/>
        <v>11</v>
      </c>
      <c r="F193" s="5">
        <f t="shared" si="33"/>
        <v>10.51</v>
      </c>
      <c r="G193" s="5">
        <f t="shared" si="33"/>
        <v>10.58</v>
      </c>
      <c r="H193" s="5">
        <f t="shared" si="33"/>
        <v>10.37</v>
      </c>
      <c r="I193" s="5">
        <f t="shared" si="33"/>
        <v>9.96</v>
      </c>
      <c r="J193" s="5">
        <f t="shared" si="33"/>
        <v>9.73</v>
      </c>
      <c r="K193" s="5">
        <f t="shared" si="33"/>
        <v>9.5</v>
      </c>
      <c r="L193" s="5">
        <f t="shared" si="33"/>
        <v>9.12</v>
      </c>
      <c r="M193" s="5">
        <f t="shared" si="33"/>
        <v>9.08</v>
      </c>
      <c r="N193" s="5">
        <f t="shared" si="33"/>
        <v>8.77</v>
      </c>
      <c r="O193" s="5">
        <f t="shared" si="33"/>
        <v>8.46</v>
      </c>
      <c r="P193" s="5">
        <f t="shared" si="33"/>
        <v>8.09</v>
      </c>
      <c r="Q193" s="5">
        <f t="shared" si="33"/>
        <v>6.99</v>
      </c>
      <c r="R193" s="5">
        <f t="shared" si="33"/>
        <v>5.51</v>
      </c>
      <c r="S193" s="5">
        <f t="shared" si="32"/>
        <v>5.04</v>
      </c>
      <c r="T193" s="5">
        <f t="shared" si="32"/>
        <v>4.02</v>
      </c>
      <c r="U193" s="5">
        <f t="shared" si="32"/>
        <v>2.99</v>
      </c>
      <c r="V193" s="5">
        <f t="shared" si="32"/>
        <v>2.84</v>
      </c>
      <c r="W193" s="5">
        <f t="shared" si="32"/>
        <v>2.39</v>
      </c>
      <c r="X193" s="5">
        <f t="shared" si="32"/>
        <v>2.16</v>
      </c>
      <c r="Y193" s="5">
        <f t="shared" si="32"/>
        <v>1.92</v>
      </c>
      <c r="Z193" s="5">
        <f t="shared" si="32"/>
        <v>1.88</v>
      </c>
      <c r="AA193" s="5">
        <f t="shared" si="32"/>
        <v>1.73</v>
      </c>
      <c r="AB193" s="5">
        <f t="shared" si="32"/>
        <v>1.52</v>
      </c>
      <c r="AC193" s="5">
        <f t="shared" si="32"/>
        <v>1.34</v>
      </c>
      <c r="AD193" s="5">
        <f t="shared" si="32"/>
        <v>1.31</v>
      </c>
      <c r="AE193" s="5">
        <f t="shared" si="32"/>
        <v>1.19</v>
      </c>
      <c r="AF193" s="5">
        <f t="shared" si="32"/>
        <v>1.16</v>
      </c>
      <c r="AG193" s="5">
        <f t="shared" si="32"/>
        <v>1.13</v>
      </c>
      <c r="AH193" s="5">
        <f t="shared" si="27"/>
        <v>1.04</v>
      </c>
      <c r="AI193" s="5">
        <f t="shared" si="27"/>
        <v>0.98</v>
      </c>
      <c r="AJ193" s="5">
        <f t="shared" si="27"/>
        <v>0.96</v>
      </c>
    </row>
    <row r="194" spans="1:36">
      <c r="A194" t="str">
        <f>"primary_archetype_"&amp;TEXT(ROUND(Table213[[#This Row],[2016]],1),"0.0")</f>
        <v>primary_archetype_11.1</v>
      </c>
      <c r="B194" s="5">
        <f t="shared" si="24"/>
        <v>11.1</v>
      </c>
      <c r="C194" s="5">
        <f t="shared" si="33"/>
        <v>11.1</v>
      </c>
      <c r="D194" s="5">
        <f t="shared" si="33"/>
        <v>11.1</v>
      </c>
      <c r="E194" s="5">
        <f t="shared" si="33"/>
        <v>10.9</v>
      </c>
      <c r="F194" s="5">
        <f t="shared" si="33"/>
        <v>10.42</v>
      </c>
      <c r="G194" s="5">
        <f t="shared" si="33"/>
        <v>10.49</v>
      </c>
      <c r="H194" s="5">
        <f t="shared" si="33"/>
        <v>10.28</v>
      </c>
      <c r="I194" s="5">
        <f t="shared" si="33"/>
        <v>9.87</v>
      </c>
      <c r="J194" s="5">
        <f t="shared" si="33"/>
        <v>9.65</v>
      </c>
      <c r="K194" s="5">
        <f t="shared" si="33"/>
        <v>9.41</v>
      </c>
      <c r="L194" s="5">
        <f t="shared" si="33"/>
        <v>9.04</v>
      </c>
      <c r="M194" s="5">
        <f t="shared" si="33"/>
        <v>9</v>
      </c>
      <c r="N194" s="5">
        <f t="shared" si="33"/>
        <v>8.7</v>
      </c>
      <c r="O194" s="5">
        <f t="shared" si="33"/>
        <v>8.39</v>
      </c>
      <c r="P194" s="5">
        <f t="shared" si="33"/>
        <v>8.02</v>
      </c>
      <c r="Q194" s="5">
        <f t="shared" si="33"/>
        <v>6.93</v>
      </c>
      <c r="R194" s="5">
        <f t="shared" si="33"/>
        <v>5.47</v>
      </c>
      <c r="S194" s="5">
        <f t="shared" si="32"/>
        <v>5</v>
      </c>
      <c r="T194" s="5">
        <f t="shared" si="32"/>
        <v>3.99</v>
      </c>
      <c r="U194" s="5">
        <f t="shared" si="32"/>
        <v>2.97</v>
      </c>
      <c r="V194" s="5">
        <f t="shared" si="32"/>
        <v>2.82</v>
      </c>
      <c r="W194" s="5">
        <f t="shared" si="32"/>
        <v>2.37</v>
      </c>
      <c r="X194" s="5">
        <f t="shared" si="32"/>
        <v>2.15</v>
      </c>
      <c r="Y194" s="5">
        <f t="shared" si="32"/>
        <v>1.91</v>
      </c>
      <c r="Z194" s="5">
        <f t="shared" si="32"/>
        <v>1.87</v>
      </c>
      <c r="AA194" s="5">
        <f t="shared" si="32"/>
        <v>1.73</v>
      </c>
      <c r="AB194" s="5">
        <f t="shared" si="32"/>
        <v>1.51</v>
      </c>
      <c r="AC194" s="5">
        <f t="shared" si="32"/>
        <v>1.34</v>
      </c>
      <c r="AD194" s="5">
        <f t="shared" si="32"/>
        <v>1.31</v>
      </c>
      <c r="AE194" s="5">
        <f t="shared" si="32"/>
        <v>1.19</v>
      </c>
      <c r="AF194" s="5">
        <f t="shared" si="32"/>
        <v>1.15</v>
      </c>
      <c r="AG194" s="5">
        <f t="shared" si="32"/>
        <v>1.13</v>
      </c>
      <c r="AH194" s="5">
        <f t="shared" si="27"/>
        <v>1.04</v>
      </c>
      <c r="AI194" s="5">
        <f t="shared" si="27"/>
        <v>0.98</v>
      </c>
      <c r="AJ194" s="5">
        <f t="shared" si="27"/>
        <v>0.96</v>
      </c>
    </row>
    <row r="195" spans="1:36">
      <c r="A195" t="str">
        <f>"primary_archetype_"&amp;TEXT(ROUND(Table213[[#This Row],[2016]],1),"0.0")</f>
        <v>primary_archetype_11.0</v>
      </c>
      <c r="B195" s="5">
        <f t="shared" si="24"/>
        <v>11</v>
      </c>
      <c r="C195" s="5">
        <f t="shared" si="33"/>
        <v>11</v>
      </c>
      <c r="D195" s="5">
        <f t="shared" si="33"/>
        <v>11</v>
      </c>
      <c r="E195" s="5">
        <f t="shared" si="33"/>
        <v>10.8</v>
      </c>
      <c r="F195" s="5">
        <f t="shared" si="33"/>
        <v>10.33</v>
      </c>
      <c r="G195" s="5">
        <f t="shared" si="33"/>
        <v>10.39</v>
      </c>
      <c r="H195" s="5">
        <f t="shared" si="33"/>
        <v>10.19</v>
      </c>
      <c r="I195" s="5">
        <f t="shared" si="33"/>
        <v>9.79</v>
      </c>
      <c r="J195" s="5">
        <f t="shared" si="33"/>
        <v>9.56</v>
      </c>
      <c r="K195" s="5">
        <f t="shared" si="33"/>
        <v>9.33</v>
      </c>
      <c r="L195" s="5">
        <f t="shared" si="33"/>
        <v>8.97</v>
      </c>
      <c r="M195" s="5">
        <f t="shared" si="33"/>
        <v>8.92</v>
      </c>
      <c r="N195" s="5">
        <f t="shared" si="33"/>
        <v>8.62</v>
      </c>
      <c r="O195" s="5">
        <f t="shared" si="33"/>
        <v>8.31</v>
      </c>
      <c r="P195" s="5">
        <f t="shared" si="33"/>
        <v>7.95</v>
      </c>
      <c r="Q195" s="5">
        <f t="shared" si="33"/>
        <v>6.87</v>
      </c>
      <c r="R195" s="5">
        <f t="shared" si="33"/>
        <v>5.43</v>
      </c>
      <c r="S195" s="5">
        <f t="shared" si="32"/>
        <v>4.96</v>
      </c>
      <c r="T195" s="5">
        <f t="shared" si="32"/>
        <v>3.96</v>
      </c>
      <c r="U195" s="5">
        <f t="shared" si="32"/>
        <v>2.95</v>
      </c>
      <c r="V195" s="5">
        <f t="shared" si="32"/>
        <v>2.8</v>
      </c>
      <c r="W195" s="5">
        <f t="shared" si="32"/>
        <v>2.36</v>
      </c>
      <c r="X195" s="5">
        <f t="shared" si="32"/>
        <v>2.14</v>
      </c>
      <c r="Y195" s="5">
        <f t="shared" si="32"/>
        <v>1.9</v>
      </c>
      <c r="Z195" s="5">
        <f t="shared" si="32"/>
        <v>1.87</v>
      </c>
      <c r="AA195" s="5">
        <f t="shared" si="32"/>
        <v>1.72</v>
      </c>
      <c r="AB195" s="5">
        <f t="shared" si="32"/>
        <v>1.51</v>
      </c>
      <c r="AC195" s="5">
        <f t="shared" si="32"/>
        <v>1.33</v>
      </c>
      <c r="AD195" s="5">
        <f t="shared" si="32"/>
        <v>1.3</v>
      </c>
      <c r="AE195" s="5">
        <f t="shared" si="32"/>
        <v>1.19</v>
      </c>
      <c r="AF195" s="5">
        <f t="shared" si="32"/>
        <v>1.15</v>
      </c>
      <c r="AG195" s="5">
        <f t="shared" si="32"/>
        <v>1.13</v>
      </c>
      <c r="AH195" s="5">
        <f t="shared" si="27"/>
        <v>1.04</v>
      </c>
      <c r="AI195" s="5">
        <f t="shared" si="27"/>
        <v>0.98</v>
      </c>
      <c r="AJ195" s="5">
        <f t="shared" si="27"/>
        <v>0.96</v>
      </c>
    </row>
    <row r="196" spans="1:36">
      <c r="A196" t="str">
        <f>"primary_archetype_"&amp;TEXT(ROUND(Table213[[#This Row],[2016]],1),"0.0")</f>
        <v>primary_archetype_10.9</v>
      </c>
      <c r="B196" s="5">
        <f t="shared" si="24"/>
        <v>10.9</v>
      </c>
      <c r="C196" s="5">
        <f t="shared" si="33"/>
        <v>10.9</v>
      </c>
      <c r="D196" s="5">
        <f t="shared" si="33"/>
        <v>10.9</v>
      </c>
      <c r="E196" s="5">
        <f t="shared" si="33"/>
        <v>10.7</v>
      </c>
      <c r="F196" s="5">
        <f t="shared" si="33"/>
        <v>10.23</v>
      </c>
      <c r="G196" s="5">
        <f t="shared" si="33"/>
        <v>10.3</v>
      </c>
      <c r="H196" s="5">
        <f t="shared" si="33"/>
        <v>10.09</v>
      </c>
      <c r="I196" s="5">
        <f t="shared" si="33"/>
        <v>9.7</v>
      </c>
      <c r="J196" s="5">
        <f t="shared" si="33"/>
        <v>9.48</v>
      </c>
      <c r="K196" s="5">
        <f t="shared" si="33"/>
        <v>9.25</v>
      </c>
      <c r="L196" s="5">
        <f t="shared" si="33"/>
        <v>8.89</v>
      </c>
      <c r="M196" s="5">
        <f t="shared" si="33"/>
        <v>8.84</v>
      </c>
      <c r="N196" s="5">
        <f t="shared" si="33"/>
        <v>8.55</v>
      </c>
      <c r="O196" s="5">
        <f t="shared" si="33"/>
        <v>8.24</v>
      </c>
      <c r="P196" s="5">
        <f t="shared" si="33"/>
        <v>7.88</v>
      </c>
      <c r="Q196" s="5">
        <f t="shared" si="33"/>
        <v>6.81</v>
      </c>
      <c r="R196" s="5">
        <f t="shared" si="33"/>
        <v>5.38</v>
      </c>
      <c r="S196" s="5">
        <f t="shared" si="32"/>
        <v>4.93</v>
      </c>
      <c r="T196" s="5">
        <f t="shared" si="32"/>
        <v>3.93</v>
      </c>
      <c r="U196" s="5">
        <f t="shared" si="32"/>
        <v>2.93</v>
      </c>
      <c r="V196" s="5">
        <f t="shared" si="32"/>
        <v>2.79</v>
      </c>
      <c r="W196" s="5">
        <f t="shared" si="32"/>
        <v>2.35</v>
      </c>
      <c r="X196" s="5">
        <f t="shared" si="32"/>
        <v>2.12</v>
      </c>
      <c r="Y196" s="5">
        <f t="shared" si="32"/>
        <v>1.89</v>
      </c>
      <c r="Z196" s="5">
        <f t="shared" si="32"/>
        <v>1.86</v>
      </c>
      <c r="AA196" s="5">
        <f t="shared" si="32"/>
        <v>1.71</v>
      </c>
      <c r="AB196" s="5">
        <f t="shared" si="32"/>
        <v>1.5</v>
      </c>
      <c r="AC196" s="5">
        <f t="shared" si="32"/>
        <v>1.33</v>
      </c>
      <c r="AD196" s="5">
        <f t="shared" si="32"/>
        <v>1.3</v>
      </c>
      <c r="AE196" s="5">
        <f t="shared" si="32"/>
        <v>1.18</v>
      </c>
      <c r="AF196" s="5">
        <f t="shared" si="32"/>
        <v>1.15</v>
      </c>
      <c r="AG196" s="5">
        <f t="shared" si="32"/>
        <v>1.13</v>
      </c>
      <c r="AH196" s="5">
        <f t="shared" si="27"/>
        <v>1.04</v>
      </c>
      <c r="AI196" s="5">
        <f t="shared" si="27"/>
        <v>0.99</v>
      </c>
      <c r="AJ196" s="5">
        <f t="shared" si="27"/>
        <v>0.96</v>
      </c>
    </row>
    <row r="197" spans="1:36">
      <c r="A197" t="str">
        <f>"primary_archetype_"&amp;TEXT(ROUND(Table213[[#This Row],[2016]],1),"0.0")</f>
        <v>primary_archetype_10.8</v>
      </c>
      <c r="B197" s="5">
        <f t="shared" si="24"/>
        <v>10.8</v>
      </c>
      <c r="C197" s="5">
        <f t="shared" si="33"/>
        <v>10.8</v>
      </c>
      <c r="D197" s="5">
        <f t="shared" si="33"/>
        <v>10.8</v>
      </c>
      <c r="E197" s="5">
        <f t="shared" si="33"/>
        <v>10.61</v>
      </c>
      <c r="F197" s="5">
        <f t="shared" si="33"/>
        <v>10.14</v>
      </c>
      <c r="G197" s="5">
        <f t="shared" si="33"/>
        <v>10.2</v>
      </c>
      <c r="H197" s="5">
        <f t="shared" si="33"/>
        <v>10</v>
      </c>
      <c r="I197" s="5">
        <f t="shared" si="33"/>
        <v>9.61</v>
      </c>
      <c r="J197" s="5">
        <f t="shared" si="33"/>
        <v>9.39</v>
      </c>
      <c r="K197" s="5">
        <f t="shared" si="33"/>
        <v>9.16</v>
      </c>
      <c r="L197" s="5">
        <f t="shared" si="33"/>
        <v>8.81</v>
      </c>
      <c r="M197" s="5">
        <f t="shared" si="33"/>
        <v>8.76</v>
      </c>
      <c r="N197" s="5">
        <f t="shared" si="33"/>
        <v>8.47</v>
      </c>
      <c r="O197" s="5">
        <f t="shared" si="33"/>
        <v>8.17</v>
      </c>
      <c r="P197" s="5">
        <f t="shared" si="33"/>
        <v>7.81</v>
      </c>
      <c r="Q197" s="5">
        <f t="shared" si="33"/>
        <v>6.76</v>
      </c>
      <c r="R197" s="5">
        <f t="shared" si="33"/>
        <v>5.34</v>
      </c>
      <c r="S197" s="5">
        <f t="shared" si="32"/>
        <v>4.89</v>
      </c>
      <c r="T197" s="5">
        <f t="shared" si="32"/>
        <v>3.9</v>
      </c>
      <c r="U197" s="5">
        <f t="shared" si="32"/>
        <v>2.91</v>
      </c>
      <c r="V197" s="5">
        <f t="shared" si="32"/>
        <v>2.77</v>
      </c>
      <c r="W197" s="5">
        <f t="shared" si="32"/>
        <v>2.33</v>
      </c>
      <c r="X197" s="5">
        <f t="shared" si="32"/>
        <v>2.11</v>
      </c>
      <c r="Y197" s="5">
        <f t="shared" si="32"/>
        <v>1.88</v>
      </c>
      <c r="Z197" s="5">
        <f t="shared" si="32"/>
        <v>1.85</v>
      </c>
      <c r="AA197" s="5">
        <f t="shared" si="32"/>
        <v>1.71</v>
      </c>
      <c r="AB197" s="5">
        <f t="shared" si="32"/>
        <v>1.5</v>
      </c>
      <c r="AC197" s="5">
        <f t="shared" si="32"/>
        <v>1.33</v>
      </c>
      <c r="AD197" s="5">
        <f t="shared" si="32"/>
        <v>1.3</v>
      </c>
      <c r="AE197" s="5">
        <f t="shared" si="32"/>
        <v>1.18</v>
      </c>
      <c r="AF197" s="5">
        <f t="shared" si="32"/>
        <v>1.15</v>
      </c>
      <c r="AG197" s="5">
        <f t="shared" si="32"/>
        <v>1.13</v>
      </c>
      <c r="AH197" s="5">
        <f t="shared" si="27"/>
        <v>1.04</v>
      </c>
      <c r="AI197" s="5">
        <f t="shared" si="27"/>
        <v>0.99</v>
      </c>
      <c r="AJ197" s="5">
        <f t="shared" si="27"/>
        <v>0.96</v>
      </c>
    </row>
    <row r="198" spans="1:36">
      <c r="A198" t="str">
        <f>"primary_archetype_"&amp;TEXT(ROUND(Table213[[#This Row],[2016]],1),"0.0")</f>
        <v>primary_archetype_10.7</v>
      </c>
      <c r="B198" s="5">
        <f t="shared" si="24"/>
        <v>10.7</v>
      </c>
      <c r="C198" s="5">
        <f t="shared" si="33"/>
        <v>10.7</v>
      </c>
      <c r="D198" s="5">
        <f t="shared" si="33"/>
        <v>10.7</v>
      </c>
      <c r="E198" s="5">
        <f t="shared" si="33"/>
        <v>10.51</v>
      </c>
      <c r="F198" s="5">
        <f t="shared" si="33"/>
        <v>10.05</v>
      </c>
      <c r="G198" s="5">
        <f t="shared" si="33"/>
        <v>10.11</v>
      </c>
      <c r="H198" s="5">
        <f t="shared" si="33"/>
        <v>9.91</v>
      </c>
      <c r="I198" s="5">
        <f t="shared" si="33"/>
        <v>9.52</v>
      </c>
      <c r="J198" s="5">
        <f t="shared" si="33"/>
        <v>9.3</v>
      </c>
      <c r="K198" s="5">
        <f t="shared" si="33"/>
        <v>9.08</v>
      </c>
      <c r="L198" s="5">
        <f t="shared" si="33"/>
        <v>8.73</v>
      </c>
      <c r="M198" s="5">
        <f t="shared" si="33"/>
        <v>8.68</v>
      </c>
      <c r="N198" s="5">
        <f t="shared" si="33"/>
        <v>8.39</v>
      </c>
      <c r="O198" s="5">
        <f t="shared" si="33"/>
        <v>8.09</v>
      </c>
      <c r="P198" s="5">
        <f t="shared" si="33"/>
        <v>7.74</v>
      </c>
      <c r="Q198" s="5">
        <f t="shared" si="33"/>
        <v>6.7</v>
      </c>
      <c r="R198" s="5">
        <f t="shared" si="33"/>
        <v>5.29</v>
      </c>
      <c r="S198" s="5">
        <f t="shared" si="32"/>
        <v>4.85</v>
      </c>
      <c r="T198" s="5">
        <f t="shared" si="32"/>
        <v>3.87</v>
      </c>
      <c r="U198" s="5">
        <f t="shared" si="32"/>
        <v>2.89</v>
      </c>
      <c r="V198" s="5">
        <f t="shared" si="32"/>
        <v>2.75</v>
      </c>
      <c r="W198" s="5">
        <f t="shared" si="32"/>
        <v>2.32</v>
      </c>
      <c r="X198" s="5">
        <f t="shared" si="32"/>
        <v>2.1</v>
      </c>
      <c r="Y198" s="5">
        <f t="shared" si="32"/>
        <v>1.88</v>
      </c>
      <c r="Z198" s="5">
        <f t="shared" si="32"/>
        <v>1.84</v>
      </c>
      <c r="AA198" s="5">
        <f t="shared" si="32"/>
        <v>1.7</v>
      </c>
      <c r="AB198" s="5">
        <f t="shared" si="32"/>
        <v>1.49</v>
      </c>
      <c r="AC198" s="5">
        <f t="shared" si="32"/>
        <v>1.32</v>
      </c>
      <c r="AD198" s="5">
        <f t="shared" si="32"/>
        <v>1.3</v>
      </c>
      <c r="AE198" s="5">
        <f t="shared" si="32"/>
        <v>1.18</v>
      </c>
      <c r="AF198" s="5">
        <f t="shared" si="32"/>
        <v>1.15</v>
      </c>
      <c r="AG198" s="5">
        <f t="shared" si="32"/>
        <v>1.13</v>
      </c>
      <c r="AH198" s="5">
        <f t="shared" si="27"/>
        <v>1.04</v>
      </c>
      <c r="AI198" s="5">
        <f t="shared" si="27"/>
        <v>0.99</v>
      </c>
      <c r="AJ198" s="5">
        <f t="shared" si="27"/>
        <v>0.96</v>
      </c>
    </row>
    <row r="199" spans="1:36">
      <c r="A199" t="str">
        <f>"primary_archetype_"&amp;TEXT(ROUND(Table213[[#This Row],[2016]],1),"0.0")</f>
        <v>primary_archetype_10.6</v>
      </c>
      <c r="B199" s="5">
        <f t="shared" si="24"/>
        <v>10.6</v>
      </c>
      <c r="C199" s="5">
        <f t="shared" si="33"/>
        <v>10.6</v>
      </c>
      <c r="D199" s="5">
        <f t="shared" si="33"/>
        <v>10.6</v>
      </c>
      <c r="E199" s="5">
        <f t="shared" si="33"/>
        <v>10.41</v>
      </c>
      <c r="F199" s="5">
        <f t="shared" si="33"/>
        <v>9.95</v>
      </c>
      <c r="G199" s="5">
        <f t="shared" si="33"/>
        <v>10.02</v>
      </c>
      <c r="H199" s="5">
        <f t="shared" si="33"/>
        <v>9.82</v>
      </c>
      <c r="I199" s="5">
        <f t="shared" si="33"/>
        <v>9.43</v>
      </c>
      <c r="J199" s="5">
        <f t="shared" si="33"/>
        <v>9.22</v>
      </c>
      <c r="K199" s="5">
        <f t="shared" si="33"/>
        <v>9</v>
      </c>
      <c r="L199" s="5">
        <f t="shared" si="33"/>
        <v>8.65</v>
      </c>
      <c r="M199" s="5">
        <f t="shared" si="33"/>
        <v>8.6</v>
      </c>
      <c r="N199" s="5">
        <f t="shared" si="33"/>
        <v>8.32</v>
      </c>
      <c r="O199" s="5">
        <f t="shared" si="33"/>
        <v>8.02</v>
      </c>
      <c r="P199" s="5">
        <f t="shared" si="33"/>
        <v>7.67</v>
      </c>
      <c r="Q199" s="5">
        <f t="shared" si="33"/>
        <v>6.64</v>
      </c>
      <c r="R199" s="5">
        <f t="shared" si="33"/>
        <v>5.25</v>
      </c>
      <c r="S199" s="5">
        <f t="shared" si="32"/>
        <v>4.81</v>
      </c>
      <c r="T199" s="5">
        <f t="shared" si="32"/>
        <v>3.84</v>
      </c>
      <c r="U199" s="5">
        <f t="shared" si="32"/>
        <v>2.87</v>
      </c>
      <c r="V199" s="5">
        <f t="shared" si="32"/>
        <v>2.73</v>
      </c>
      <c r="W199" s="5">
        <f t="shared" si="32"/>
        <v>2.31</v>
      </c>
      <c r="X199" s="5">
        <f t="shared" si="32"/>
        <v>2.09</v>
      </c>
      <c r="Y199" s="5">
        <f t="shared" si="32"/>
        <v>1.87</v>
      </c>
      <c r="Z199" s="5">
        <f t="shared" si="32"/>
        <v>1.83</v>
      </c>
      <c r="AA199" s="5">
        <f t="shared" si="32"/>
        <v>1.69</v>
      </c>
      <c r="AB199" s="5">
        <f t="shared" si="32"/>
        <v>1.49</v>
      </c>
      <c r="AC199" s="5">
        <f t="shared" si="32"/>
        <v>1.32</v>
      </c>
      <c r="AD199" s="5">
        <f t="shared" si="32"/>
        <v>1.29</v>
      </c>
      <c r="AE199" s="5">
        <f t="shared" si="32"/>
        <v>1.18</v>
      </c>
      <c r="AF199" s="5">
        <f t="shared" si="32"/>
        <v>1.15</v>
      </c>
      <c r="AG199" s="5">
        <f t="shared" si="32"/>
        <v>1.13</v>
      </c>
      <c r="AH199" s="5">
        <f t="shared" si="27"/>
        <v>1.04</v>
      </c>
      <c r="AI199" s="5">
        <f t="shared" si="27"/>
        <v>0.99</v>
      </c>
      <c r="AJ199" s="5">
        <f t="shared" si="27"/>
        <v>0.96</v>
      </c>
    </row>
    <row r="200" spans="1:36">
      <c r="A200" t="str">
        <f>"primary_archetype_"&amp;TEXT(ROUND(Table213[[#This Row],[2016]],1),"0.0")</f>
        <v>primary_archetype_10.5</v>
      </c>
      <c r="B200" s="5">
        <f t="shared" ref="B200:B263" si="34">MROUND(B199-0.1,0.1)</f>
        <v>10.5</v>
      </c>
      <c r="C200" s="5">
        <f t="shared" si="33"/>
        <v>10.5</v>
      </c>
      <c r="D200" s="5">
        <f t="shared" si="33"/>
        <v>10.5</v>
      </c>
      <c r="E200" s="5">
        <f t="shared" si="33"/>
        <v>10.31</v>
      </c>
      <c r="F200" s="5">
        <f t="shared" si="33"/>
        <v>9.86</v>
      </c>
      <c r="G200" s="5">
        <f t="shared" si="33"/>
        <v>9.92</v>
      </c>
      <c r="H200" s="5">
        <f t="shared" si="33"/>
        <v>9.73</v>
      </c>
      <c r="I200" s="5">
        <f t="shared" si="33"/>
        <v>9.35</v>
      </c>
      <c r="J200" s="5">
        <f t="shared" si="33"/>
        <v>9.13</v>
      </c>
      <c r="K200" s="5">
        <f t="shared" si="33"/>
        <v>8.91</v>
      </c>
      <c r="L200" s="5">
        <f t="shared" si="33"/>
        <v>8.57</v>
      </c>
      <c r="M200" s="5">
        <f t="shared" si="33"/>
        <v>8.53</v>
      </c>
      <c r="N200" s="5">
        <f t="shared" si="33"/>
        <v>8.24</v>
      </c>
      <c r="O200" s="5">
        <f t="shared" si="33"/>
        <v>7.95</v>
      </c>
      <c r="P200" s="5">
        <f t="shared" si="33"/>
        <v>7.6</v>
      </c>
      <c r="Q200" s="5">
        <f t="shared" si="33"/>
        <v>6.58</v>
      </c>
      <c r="R200" s="5">
        <f t="shared" si="33"/>
        <v>5.21</v>
      </c>
      <c r="S200" s="5">
        <f t="shared" si="32"/>
        <v>4.77</v>
      </c>
      <c r="T200" s="5">
        <f t="shared" si="32"/>
        <v>3.81</v>
      </c>
      <c r="U200" s="5">
        <f t="shared" si="32"/>
        <v>2.85</v>
      </c>
      <c r="V200" s="5">
        <f t="shared" si="32"/>
        <v>2.71</v>
      </c>
      <c r="W200" s="5">
        <f t="shared" si="32"/>
        <v>2.29</v>
      </c>
      <c r="X200" s="5">
        <f t="shared" si="32"/>
        <v>2.08</v>
      </c>
      <c r="Y200" s="5">
        <f t="shared" si="32"/>
        <v>1.86</v>
      </c>
      <c r="Z200" s="5">
        <f t="shared" si="32"/>
        <v>1.82</v>
      </c>
      <c r="AA200" s="5">
        <f t="shared" si="32"/>
        <v>1.69</v>
      </c>
      <c r="AB200" s="5">
        <f t="shared" si="32"/>
        <v>1.48</v>
      </c>
      <c r="AC200" s="5">
        <f t="shared" si="32"/>
        <v>1.32</v>
      </c>
      <c r="AD200" s="5">
        <f t="shared" si="32"/>
        <v>1.29</v>
      </c>
      <c r="AE200" s="5">
        <f t="shared" si="32"/>
        <v>1.18</v>
      </c>
      <c r="AF200" s="5">
        <f t="shared" si="32"/>
        <v>1.15</v>
      </c>
      <c r="AG200" s="5">
        <f t="shared" si="32"/>
        <v>1.12</v>
      </c>
      <c r="AH200" s="5">
        <f t="shared" si="27"/>
        <v>1.04</v>
      </c>
      <c r="AI200" s="5">
        <f t="shared" si="27"/>
        <v>0.99</v>
      </c>
      <c r="AJ200" s="5">
        <f t="shared" si="27"/>
        <v>0.96</v>
      </c>
    </row>
    <row r="201" spans="1:36">
      <c r="A201" t="str">
        <f>"primary_archetype_"&amp;TEXT(ROUND(Table213[[#This Row],[2016]],1),"0.0")</f>
        <v>primary_archetype_10.4</v>
      </c>
      <c r="B201" s="5">
        <f t="shared" si="34"/>
        <v>10.4</v>
      </c>
      <c r="C201" s="5">
        <f t="shared" si="33"/>
        <v>10.4</v>
      </c>
      <c r="D201" s="5">
        <f t="shared" si="33"/>
        <v>10.4</v>
      </c>
      <c r="E201" s="5">
        <f t="shared" si="33"/>
        <v>10.21</v>
      </c>
      <c r="F201" s="5">
        <f t="shared" si="33"/>
        <v>9.77</v>
      </c>
      <c r="G201" s="5">
        <f t="shared" si="33"/>
        <v>9.83</v>
      </c>
      <c r="H201" s="5">
        <f t="shared" si="33"/>
        <v>9.63</v>
      </c>
      <c r="I201" s="5">
        <f t="shared" si="33"/>
        <v>9.26</v>
      </c>
      <c r="J201" s="5">
        <f t="shared" si="33"/>
        <v>9.05</v>
      </c>
      <c r="K201" s="5">
        <f t="shared" si="33"/>
        <v>8.83</v>
      </c>
      <c r="L201" s="5">
        <f t="shared" si="33"/>
        <v>8.49</v>
      </c>
      <c r="M201" s="5">
        <f t="shared" si="33"/>
        <v>8.45</v>
      </c>
      <c r="N201" s="5">
        <f t="shared" si="33"/>
        <v>8.17</v>
      </c>
      <c r="O201" s="5">
        <f t="shared" si="33"/>
        <v>7.87</v>
      </c>
      <c r="P201" s="5">
        <f t="shared" si="33"/>
        <v>7.53</v>
      </c>
      <c r="Q201" s="5">
        <f t="shared" si="33"/>
        <v>6.52</v>
      </c>
      <c r="R201" s="5">
        <f t="shared" si="33"/>
        <v>5.16</v>
      </c>
      <c r="S201" s="5">
        <f t="shared" si="32"/>
        <v>4.73</v>
      </c>
      <c r="T201" s="5">
        <f t="shared" si="32"/>
        <v>3.78</v>
      </c>
      <c r="U201" s="5">
        <f t="shared" si="32"/>
        <v>2.83</v>
      </c>
      <c r="V201" s="5">
        <f t="shared" si="32"/>
        <v>2.7</v>
      </c>
      <c r="W201" s="5">
        <f t="shared" si="32"/>
        <v>2.28</v>
      </c>
      <c r="X201" s="5">
        <f t="shared" si="32"/>
        <v>2.07</v>
      </c>
      <c r="Y201" s="5">
        <f t="shared" si="32"/>
        <v>1.85</v>
      </c>
      <c r="Z201" s="5">
        <f t="shared" si="32"/>
        <v>1.82</v>
      </c>
      <c r="AA201" s="5">
        <f t="shared" si="32"/>
        <v>1.68</v>
      </c>
      <c r="AB201" s="5">
        <f t="shared" si="32"/>
        <v>1.48</v>
      </c>
      <c r="AC201" s="5">
        <f t="shared" si="32"/>
        <v>1.31</v>
      </c>
      <c r="AD201" s="5">
        <f t="shared" si="32"/>
        <v>1.29</v>
      </c>
      <c r="AE201" s="5">
        <f t="shared" si="32"/>
        <v>1.18</v>
      </c>
      <c r="AF201" s="5">
        <f t="shared" si="32"/>
        <v>1.15</v>
      </c>
      <c r="AG201" s="5">
        <f t="shared" si="32"/>
        <v>1.12</v>
      </c>
      <c r="AH201" s="5">
        <f t="shared" si="27"/>
        <v>1.04</v>
      </c>
      <c r="AI201" s="5">
        <f t="shared" si="27"/>
        <v>0.99</v>
      </c>
      <c r="AJ201" s="5">
        <f t="shared" si="27"/>
        <v>0.96</v>
      </c>
    </row>
    <row r="202" spans="1:36">
      <c r="A202" t="str">
        <f>"primary_archetype_"&amp;TEXT(ROUND(Table213[[#This Row],[2016]],1),"0.0")</f>
        <v>primary_archetype_10.3</v>
      </c>
      <c r="B202" s="5">
        <f t="shared" si="34"/>
        <v>10.3</v>
      </c>
      <c r="C202" s="5">
        <f t="shared" si="33"/>
        <v>10.3</v>
      </c>
      <c r="D202" s="5">
        <f t="shared" si="33"/>
        <v>10.3</v>
      </c>
      <c r="E202" s="5">
        <f t="shared" si="33"/>
        <v>10.12</v>
      </c>
      <c r="F202" s="5">
        <f t="shared" si="33"/>
        <v>9.67</v>
      </c>
      <c r="G202" s="5">
        <f t="shared" si="33"/>
        <v>9.74</v>
      </c>
      <c r="H202" s="5">
        <f t="shared" si="33"/>
        <v>9.54</v>
      </c>
      <c r="I202" s="5">
        <f t="shared" si="33"/>
        <v>9.17</v>
      </c>
      <c r="J202" s="5">
        <f t="shared" si="33"/>
        <v>8.96</v>
      </c>
      <c r="K202" s="5">
        <f t="shared" si="33"/>
        <v>8.75</v>
      </c>
      <c r="L202" s="5">
        <f t="shared" si="33"/>
        <v>8.41</v>
      </c>
      <c r="M202" s="5">
        <f t="shared" si="33"/>
        <v>8.37</v>
      </c>
      <c r="N202" s="5">
        <f t="shared" si="33"/>
        <v>8.09</v>
      </c>
      <c r="O202" s="5">
        <f t="shared" si="33"/>
        <v>7.8</v>
      </c>
      <c r="P202" s="5">
        <f t="shared" si="33"/>
        <v>7.46</v>
      </c>
      <c r="Q202" s="5">
        <f t="shared" si="33"/>
        <v>6.46</v>
      </c>
      <c r="R202" s="5">
        <f t="shared" si="33"/>
        <v>5.12</v>
      </c>
      <c r="S202" s="5">
        <f t="shared" si="32"/>
        <v>4.69</v>
      </c>
      <c r="T202" s="5">
        <f t="shared" si="32"/>
        <v>3.76</v>
      </c>
      <c r="U202" s="5">
        <f t="shared" si="32"/>
        <v>2.82</v>
      </c>
      <c r="V202" s="5">
        <f t="shared" si="32"/>
        <v>2.68</v>
      </c>
      <c r="W202" s="5">
        <f t="shared" si="32"/>
        <v>2.27</v>
      </c>
      <c r="X202" s="5">
        <f t="shared" si="32"/>
        <v>2.06</v>
      </c>
      <c r="Y202" s="5">
        <f t="shared" si="32"/>
        <v>1.84</v>
      </c>
      <c r="Z202" s="5">
        <f t="shared" si="32"/>
        <v>1.81</v>
      </c>
      <c r="AA202" s="5">
        <f t="shared" si="32"/>
        <v>1.67</v>
      </c>
      <c r="AB202" s="5">
        <f t="shared" si="32"/>
        <v>1.47</v>
      </c>
      <c r="AC202" s="5">
        <f t="shared" si="32"/>
        <v>1.31</v>
      </c>
      <c r="AD202" s="5">
        <f t="shared" si="32"/>
        <v>1.28</v>
      </c>
      <c r="AE202" s="5">
        <f t="shared" si="32"/>
        <v>1.18</v>
      </c>
      <c r="AF202" s="5">
        <f t="shared" si="32"/>
        <v>1.15</v>
      </c>
      <c r="AG202" s="5">
        <f t="shared" si="32"/>
        <v>1.12</v>
      </c>
      <c r="AH202" s="5">
        <f t="shared" si="27"/>
        <v>1.04</v>
      </c>
      <c r="AI202" s="5">
        <f t="shared" si="27"/>
        <v>0.99</v>
      </c>
      <c r="AJ202" s="5">
        <f t="shared" si="27"/>
        <v>0.97</v>
      </c>
    </row>
    <row r="203" spans="1:36">
      <c r="A203" t="str">
        <f>"primary_archetype_"&amp;TEXT(ROUND(Table213[[#This Row],[2016]],1),"0.0")</f>
        <v>primary_archetype_10.2</v>
      </c>
      <c r="B203" s="5">
        <f t="shared" si="34"/>
        <v>10.2</v>
      </c>
      <c r="C203" s="5">
        <f t="shared" si="33"/>
        <v>10.2</v>
      </c>
      <c r="D203" s="5">
        <f t="shared" si="33"/>
        <v>10.2</v>
      </c>
      <c r="E203" s="5">
        <f t="shared" si="33"/>
        <v>10.02</v>
      </c>
      <c r="F203" s="5">
        <f t="shared" si="33"/>
        <v>9.58</v>
      </c>
      <c r="G203" s="5">
        <f t="shared" si="33"/>
        <v>9.64</v>
      </c>
      <c r="H203" s="5">
        <f t="shared" si="33"/>
        <v>9.45</v>
      </c>
      <c r="I203" s="5">
        <f t="shared" si="33"/>
        <v>9.08</v>
      </c>
      <c r="J203" s="5">
        <f t="shared" si="33"/>
        <v>8.88</v>
      </c>
      <c r="K203" s="5">
        <f t="shared" si="33"/>
        <v>8.66</v>
      </c>
      <c r="L203" s="5">
        <f t="shared" si="33"/>
        <v>8.33</v>
      </c>
      <c r="M203" s="5">
        <f t="shared" si="33"/>
        <v>8.29</v>
      </c>
      <c r="N203" s="5">
        <f t="shared" si="33"/>
        <v>8.01</v>
      </c>
      <c r="O203" s="5">
        <f t="shared" si="33"/>
        <v>7.73</v>
      </c>
      <c r="P203" s="5">
        <f t="shared" si="33"/>
        <v>7.39</v>
      </c>
      <c r="Q203" s="5">
        <f t="shared" si="33"/>
        <v>6.4</v>
      </c>
      <c r="R203" s="5">
        <f t="shared" si="33"/>
        <v>5.07</v>
      </c>
      <c r="S203" s="5">
        <f t="shared" si="32"/>
        <v>4.65</v>
      </c>
      <c r="T203" s="5">
        <f t="shared" si="32"/>
        <v>3.73</v>
      </c>
      <c r="U203" s="5">
        <f t="shared" si="32"/>
        <v>2.8</v>
      </c>
      <c r="V203" s="5">
        <f t="shared" si="32"/>
        <v>2.66</v>
      </c>
      <c r="W203" s="5">
        <f t="shared" si="32"/>
        <v>2.25</v>
      </c>
      <c r="X203" s="5">
        <f t="shared" si="32"/>
        <v>2.05</v>
      </c>
      <c r="Y203" s="5">
        <f t="shared" si="32"/>
        <v>1.83</v>
      </c>
      <c r="Z203" s="5">
        <f t="shared" si="32"/>
        <v>1.8</v>
      </c>
      <c r="AA203" s="5">
        <f t="shared" si="32"/>
        <v>1.66</v>
      </c>
      <c r="AB203" s="5">
        <f t="shared" si="32"/>
        <v>1.47</v>
      </c>
      <c r="AC203" s="5">
        <f t="shared" si="32"/>
        <v>1.31</v>
      </c>
      <c r="AD203" s="5">
        <f t="shared" si="32"/>
        <v>1.28</v>
      </c>
      <c r="AE203" s="5">
        <f t="shared" si="32"/>
        <v>1.17</v>
      </c>
      <c r="AF203" s="5">
        <f t="shared" si="32"/>
        <v>1.14</v>
      </c>
      <c r="AG203" s="5">
        <f t="shared" si="32"/>
        <v>1.12</v>
      </c>
      <c r="AH203" s="5">
        <f t="shared" si="27"/>
        <v>1.04</v>
      </c>
      <c r="AI203" s="5">
        <f t="shared" si="27"/>
        <v>0.99</v>
      </c>
      <c r="AJ203" s="5">
        <f t="shared" si="27"/>
        <v>0.97</v>
      </c>
    </row>
    <row r="204" spans="1:36">
      <c r="A204" t="str">
        <f>"primary_archetype_"&amp;TEXT(ROUND(Table213[[#This Row],[2016]],1),"0.0")</f>
        <v>primary_archetype_10.1</v>
      </c>
      <c r="B204" s="5">
        <f t="shared" si="34"/>
        <v>10.1</v>
      </c>
      <c r="C204" s="5">
        <f t="shared" si="33"/>
        <v>10.1</v>
      </c>
      <c r="D204" s="5">
        <f t="shared" si="33"/>
        <v>10.1</v>
      </c>
      <c r="E204" s="5">
        <f t="shared" si="33"/>
        <v>9.92</v>
      </c>
      <c r="F204" s="5">
        <f t="shared" si="33"/>
        <v>9.49</v>
      </c>
      <c r="G204" s="5">
        <f t="shared" si="33"/>
        <v>9.55</v>
      </c>
      <c r="H204" s="5">
        <f t="shared" si="33"/>
        <v>9.36</v>
      </c>
      <c r="I204" s="5">
        <f t="shared" si="33"/>
        <v>9</v>
      </c>
      <c r="J204" s="5">
        <f t="shared" si="33"/>
        <v>8.79</v>
      </c>
      <c r="K204" s="5">
        <f t="shared" si="33"/>
        <v>8.58</v>
      </c>
      <c r="L204" s="5">
        <f t="shared" si="33"/>
        <v>8.25</v>
      </c>
      <c r="M204" s="5">
        <f t="shared" si="33"/>
        <v>8.21</v>
      </c>
      <c r="N204" s="5">
        <f t="shared" si="33"/>
        <v>7.94</v>
      </c>
      <c r="O204" s="5">
        <f t="shared" si="33"/>
        <v>7.66</v>
      </c>
      <c r="P204" s="5">
        <f t="shared" si="33"/>
        <v>7.32</v>
      </c>
      <c r="Q204" s="5">
        <f t="shared" si="33"/>
        <v>6.35</v>
      </c>
      <c r="R204" s="5">
        <f t="shared" ref="R204:AG219" si="35">MROUND((($B204-$AH$2)*((R$2-$AH$2)/($B$2-$AH$2)))+$AH$2,0.01)</f>
        <v>5.03</v>
      </c>
      <c r="S204" s="5">
        <f t="shared" si="35"/>
        <v>4.61</v>
      </c>
      <c r="T204" s="5">
        <f t="shared" si="35"/>
        <v>3.7</v>
      </c>
      <c r="U204" s="5">
        <f t="shared" si="35"/>
        <v>2.78</v>
      </c>
      <c r="V204" s="5">
        <f t="shared" si="35"/>
        <v>2.64</v>
      </c>
      <c r="W204" s="5">
        <f t="shared" si="35"/>
        <v>2.24</v>
      </c>
      <c r="X204" s="5">
        <f t="shared" si="35"/>
        <v>2.04</v>
      </c>
      <c r="Y204" s="5">
        <f t="shared" si="35"/>
        <v>1.82</v>
      </c>
      <c r="Z204" s="5">
        <f t="shared" si="35"/>
        <v>1.79</v>
      </c>
      <c r="AA204" s="5">
        <f t="shared" si="35"/>
        <v>1.66</v>
      </c>
      <c r="AB204" s="5">
        <f t="shared" si="35"/>
        <v>1.46</v>
      </c>
      <c r="AC204" s="5">
        <f t="shared" si="35"/>
        <v>1.31</v>
      </c>
      <c r="AD204" s="5">
        <f t="shared" si="35"/>
        <v>1.28</v>
      </c>
      <c r="AE204" s="5">
        <f t="shared" si="35"/>
        <v>1.17</v>
      </c>
      <c r="AF204" s="5">
        <f t="shared" si="35"/>
        <v>1.14</v>
      </c>
      <c r="AG204" s="5">
        <f t="shared" si="35"/>
        <v>1.12</v>
      </c>
      <c r="AH204" s="5">
        <f t="shared" si="27"/>
        <v>1.04</v>
      </c>
      <c r="AI204" s="5">
        <f t="shared" si="27"/>
        <v>0.99</v>
      </c>
      <c r="AJ204" s="5">
        <f t="shared" si="27"/>
        <v>0.97</v>
      </c>
    </row>
    <row r="205" spans="1:36">
      <c r="A205" t="str">
        <f>"primary_archetype_"&amp;TEXT(ROUND(Table213[[#This Row],[2016]],1),"0.0")</f>
        <v>primary_archetype_10.0</v>
      </c>
      <c r="B205" s="5">
        <f t="shared" si="34"/>
        <v>10</v>
      </c>
      <c r="C205" s="5">
        <f t="shared" ref="C205:R220" si="36">MROUND((($B205-$AH$2)*((C$2-$AH$2)/($B$2-$AH$2)))+$AH$2,0.01)</f>
        <v>10</v>
      </c>
      <c r="D205" s="5">
        <f t="shared" si="36"/>
        <v>10</v>
      </c>
      <c r="E205" s="5">
        <f t="shared" si="36"/>
        <v>9.82</v>
      </c>
      <c r="F205" s="5">
        <f t="shared" si="36"/>
        <v>9.39</v>
      </c>
      <c r="G205" s="5">
        <f t="shared" si="36"/>
        <v>9.45</v>
      </c>
      <c r="H205" s="5">
        <f t="shared" si="36"/>
        <v>9.27</v>
      </c>
      <c r="I205" s="5">
        <f t="shared" si="36"/>
        <v>8.91</v>
      </c>
      <c r="J205" s="5">
        <f t="shared" si="36"/>
        <v>8.71</v>
      </c>
      <c r="K205" s="5">
        <f t="shared" si="36"/>
        <v>8.5</v>
      </c>
      <c r="L205" s="5">
        <f t="shared" si="36"/>
        <v>8.17</v>
      </c>
      <c r="M205" s="5">
        <f t="shared" si="36"/>
        <v>8.13</v>
      </c>
      <c r="N205" s="5">
        <f t="shared" si="36"/>
        <v>7.86</v>
      </c>
      <c r="O205" s="5">
        <f t="shared" si="36"/>
        <v>7.58</v>
      </c>
      <c r="P205" s="5">
        <f t="shared" si="36"/>
        <v>7.25</v>
      </c>
      <c r="Q205" s="5">
        <f t="shared" si="36"/>
        <v>6.29</v>
      </c>
      <c r="R205" s="5">
        <f t="shared" si="36"/>
        <v>4.99</v>
      </c>
      <c r="S205" s="5">
        <f t="shared" si="35"/>
        <v>4.57</v>
      </c>
      <c r="T205" s="5">
        <f t="shared" si="35"/>
        <v>3.67</v>
      </c>
      <c r="U205" s="5">
        <f t="shared" si="35"/>
        <v>2.76</v>
      </c>
      <c r="V205" s="5">
        <f t="shared" si="35"/>
        <v>2.63</v>
      </c>
      <c r="W205" s="5">
        <f t="shared" si="35"/>
        <v>2.23</v>
      </c>
      <c r="X205" s="5">
        <f t="shared" si="35"/>
        <v>2.03</v>
      </c>
      <c r="Y205" s="5">
        <f t="shared" si="35"/>
        <v>1.82</v>
      </c>
      <c r="Z205" s="5">
        <f t="shared" si="35"/>
        <v>1.78</v>
      </c>
      <c r="AA205" s="5">
        <f t="shared" si="35"/>
        <v>1.65</v>
      </c>
      <c r="AB205" s="5">
        <f t="shared" si="35"/>
        <v>1.46</v>
      </c>
      <c r="AC205" s="5">
        <f t="shared" si="35"/>
        <v>1.3</v>
      </c>
      <c r="AD205" s="5">
        <f t="shared" si="35"/>
        <v>1.28</v>
      </c>
      <c r="AE205" s="5">
        <f t="shared" si="35"/>
        <v>1.17</v>
      </c>
      <c r="AF205" s="5">
        <f t="shared" si="35"/>
        <v>1.14</v>
      </c>
      <c r="AG205" s="5">
        <f t="shared" si="35"/>
        <v>1.12</v>
      </c>
      <c r="AH205" s="5">
        <f t="shared" si="27"/>
        <v>1.04</v>
      </c>
      <c r="AI205" s="5">
        <f t="shared" si="27"/>
        <v>0.99</v>
      </c>
      <c r="AJ205" s="5">
        <f t="shared" si="27"/>
        <v>0.97</v>
      </c>
    </row>
    <row r="206" spans="1:36">
      <c r="A206" t="str">
        <f>"primary_archetype_"&amp;TEXT(ROUND(Table213[[#This Row],[2016]],1),"0.0")</f>
        <v>primary_archetype_9.9</v>
      </c>
      <c r="B206" s="5">
        <f t="shared" si="34"/>
        <v>9.9</v>
      </c>
      <c r="C206" s="5">
        <f t="shared" si="36"/>
        <v>9.9</v>
      </c>
      <c r="D206" s="5">
        <f t="shared" si="36"/>
        <v>9.9</v>
      </c>
      <c r="E206" s="5">
        <f t="shared" si="36"/>
        <v>9.72</v>
      </c>
      <c r="F206" s="5">
        <f t="shared" si="36"/>
        <v>9.3</v>
      </c>
      <c r="G206" s="5">
        <f t="shared" si="36"/>
        <v>9.36</v>
      </c>
      <c r="H206" s="5">
        <f t="shared" si="36"/>
        <v>9.18</v>
      </c>
      <c r="I206" s="5">
        <f t="shared" si="36"/>
        <v>8.82</v>
      </c>
      <c r="J206" s="5">
        <f t="shared" si="36"/>
        <v>8.62</v>
      </c>
      <c r="K206" s="5">
        <f t="shared" si="36"/>
        <v>8.41</v>
      </c>
      <c r="L206" s="5">
        <f t="shared" si="36"/>
        <v>8.09</v>
      </c>
      <c r="M206" s="5">
        <f t="shared" si="36"/>
        <v>8.05</v>
      </c>
      <c r="N206" s="5">
        <f t="shared" si="36"/>
        <v>7.78</v>
      </c>
      <c r="O206" s="5">
        <f t="shared" si="36"/>
        <v>7.51</v>
      </c>
      <c r="P206" s="5">
        <f t="shared" si="36"/>
        <v>7.18</v>
      </c>
      <c r="Q206" s="5">
        <f t="shared" si="36"/>
        <v>6.23</v>
      </c>
      <c r="R206" s="5">
        <f t="shared" si="36"/>
        <v>4.94</v>
      </c>
      <c r="S206" s="5">
        <f t="shared" si="35"/>
        <v>4.53</v>
      </c>
      <c r="T206" s="5">
        <f t="shared" si="35"/>
        <v>3.64</v>
      </c>
      <c r="U206" s="5">
        <f t="shared" si="35"/>
        <v>2.74</v>
      </c>
      <c r="V206" s="5">
        <f t="shared" si="35"/>
        <v>2.61</v>
      </c>
      <c r="W206" s="5">
        <f t="shared" si="35"/>
        <v>2.21</v>
      </c>
      <c r="X206" s="5">
        <f t="shared" si="35"/>
        <v>2.01</v>
      </c>
      <c r="Y206" s="5">
        <f t="shared" si="35"/>
        <v>1.81</v>
      </c>
      <c r="Z206" s="5">
        <f t="shared" si="35"/>
        <v>1.77</v>
      </c>
      <c r="AA206" s="5">
        <f t="shared" si="35"/>
        <v>1.64</v>
      </c>
      <c r="AB206" s="5">
        <f t="shared" si="35"/>
        <v>1.45</v>
      </c>
      <c r="AC206" s="5">
        <f t="shared" si="35"/>
        <v>1.3</v>
      </c>
      <c r="AD206" s="5">
        <f t="shared" si="35"/>
        <v>1.27</v>
      </c>
      <c r="AE206" s="5">
        <f t="shared" si="35"/>
        <v>1.17</v>
      </c>
      <c r="AF206" s="5">
        <f t="shared" si="35"/>
        <v>1.14</v>
      </c>
      <c r="AG206" s="5">
        <f t="shared" si="35"/>
        <v>1.12</v>
      </c>
      <c r="AH206" s="5">
        <f t="shared" si="27"/>
        <v>1.04</v>
      </c>
      <c r="AI206" s="5">
        <f t="shared" si="27"/>
        <v>0.99</v>
      </c>
      <c r="AJ206" s="5">
        <f t="shared" si="27"/>
        <v>0.97</v>
      </c>
    </row>
    <row r="207" spans="1:36">
      <c r="A207" t="str">
        <f>"primary_archetype_"&amp;TEXT(ROUND(Table213[[#This Row],[2016]],1),"0.0")</f>
        <v>primary_archetype_9.8</v>
      </c>
      <c r="B207" s="5">
        <f t="shared" si="34"/>
        <v>9.8</v>
      </c>
      <c r="C207" s="5">
        <f t="shared" si="36"/>
        <v>9.8</v>
      </c>
      <c r="D207" s="5">
        <f t="shared" si="36"/>
        <v>9.8</v>
      </c>
      <c r="E207" s="5">
        <f t="shared" si="36"/>
        <v>9.63</v>
      </c>
      <c r="F207" s="5">
        <f t="shared" si="36"/>
        <v>9.21</v>
      </c>
      <c r="G207" s="5">
        <f t="shared" si="36"/>
        <v>9.27</v>
      </c>
      <c r="H207" s="5">
        <f t="shared" si="36"/>
        <v>9.08</v>
      </c>
      <c r="I207" s="5">
        <f t="shared" si="36"/>
        <v>8.73</v>
      </c>
      <c r="J207" s="5">
        <f t="shared" si="36"/>
        <v>8.53</v>
      </c>
      <c r="K207" s="5">
        <f t="shared" si="36"/>
        <v>8.33</v>
      </c>
      <c r="L207" s="5">
        <f t="shared" si="36"/>
        <v>8.01</v>
      </c>
      <c r="M207" s="5">
        <f t="shared" si="36"/>
        <v>7.97</v>
      </c>
      <c r="N207" s="5">
        <f t="shared" si="36"/>
        <v>7.71</v>
      </c>
      <c r="O207" s="5">
        <f t="shared" si="36"/>
        <v>7.44</v>
      </c>
      <c r="P207" s="5">
        <f t="shared" si="36"/>
        <v>7.11</v>
      </c>
      <c r="Q207" s="5">
        <f t="shared" si="36"/>
        <v>6.17</v>
      </c>
      <c r="R207" s="5">
        <f t="shared" si="36"/>
        <v>4.9</v>
      </c>
      <c r="S207" s="5">
        <f t="shared" si="35"/>
        <v>4.49</v>
      </c>
      <c r="T207" s="5">
        <f t="shared" si="35"/>
        <v>3.61</v>
      </c>
      <c r="U207" s="5">
        <f t="shared" si="35"/>
        <v>2.72</v>
      </c>
      <c r="V207" s="5">
        <f t="shared" si="35"/>
        <v>2.59</v>
      </c>
      <c r="W207" s="5">
        <f t="shared" si="35"/>
        <v>2.2</v>
      </c>
      <c r="X207" s="5">
        <f t="shared" si="35"/>
        <v>2</v>
      </c>
      <c r="Y207" s="5">
        <f t="shared" si="35"/>
        <v>1.8</v>
      </c>
      <c r="Z207" s="5">
        <f t="shared" si="35"/>
        <v>1.77</v>
      </c>
      <c r="AA207" s="5">
        <f t="shared" si="35"/>
        <v>1.64</v>
      </c>
      <c r="AB207" s="5">
        <f t="shared" si="35"/>
        <v>1.45</v>
      </c>
      <c r="AC207" s="5">
        <f t="shared" si="35"/>
        <v>1.3</v>
      </c>
      <c r="AD207" s="5">
        <f t="shared" si="35"/>
        <v>1.27</v>
      </c>
      <c r="AE207" s="5">
        <f t="shared" si="35"/>
        <v>1.17</v>
      </c>
      <c r="AF207" s="5">
        <f t="shared" si="35"/>
        <v>1.14</v>
      </c>
      <c r="AG207" s="5">
        <f t="shared" si="35"/>
        <v>1.12</v>
      </c>
      <c r="AH207" s="5">
        <f t="shared" si="27"/>
        <v>1.04</v>
      </c>
      <c r="AI207" s="5">
        <f t="shared" si="27"/>
        <v>0.99</v>
      </c>
      <c r="AJ207" s="5">
        <f t="shared" si="27"/>
        <v>0.97</v>
      </c>
    </row>
    <row r="208" spans="1:36">
      <c r="A208" t="str">
        <f>"primary_archetype_"&amp;TEXT(ROUND(Table213[[#This Row],[2016]],1),"0.0")</f>
        <v>primary_archetype_9.7</v>
      </c>
      <c r="B208" s="5">
        <f t="shared" si="34"/>
        <v>9.7</v>
      </c>
      <c r="C208" s="5">
        <f t="shared" si="36"/>
        <v>9.7</v>
      </c>
      <c r="D208" s="5">
        <f t="shared" si="36"/>
        <v>9.7</v>
      </c>
      <c r="E208" s="5">
        <f t="shared" si="36"/>
        <v>9.53</v>
      </c>
      <c r="F208" s="5">
        <f t="shared" si="36"/>
        <v>9.11</v>
      </c>
      <c r="G208" s="5">
        <f t="shared" si="36"/>
        <v>9.17</v>
      </c>
      <c r="H208" s="5">
        <f t="shared" si="36"/>
        <v>8.99</v>
      </c>
      <c r="I208" s="5">
        <f t="shared" si="36"/>
        <v>8.64</v>
      </c>
      <c r="J208" s="5">
        <f t="shared" si="36"/>
        <v>8.45</v>
      </c>
      <c r="K208" s="5">
        <f t="shared" si="36"/>
        <v>8.25</v>
      </c>
      <c r="L208" s="5">
        <f t="shared" si="36"/>
        <v>7.93</v>
      </c>
      <c r="M208" s="5">
        <f t="shared" si="36"/>
        <v>7.89</v>
      </c>
      <c r="N208" s="5">
        <f t="shared" si="36"/>
        <v>7.63</v>
      </c>
      <c r="O208" s="5">
        <f t="shared" si="36"/>
        <v>7.36</v>
      </c>
      <c r="P208" s="5">
        <f t="shared" si="36"/>
        <v>7.04</v>
      </c>
      <c r="Q208" s="5">
        <f t="shared" si="36"/>
        <v>6.11</v>
      </c>
      <c r="R208" s="5">
        <f t="shared" si="36"/>
        <v>4.85</v>
      </c>
      <c r="S208" s="5">
        <f t="shared" si="35"/>
        <v>4.45</v>
      </c>
      <c r="T208" s="5">
        <f t="shared" si="35"/>
        <v>3.58</v>
      </c>
      <c r="U208" s="5">
        <f t="shared" si="35"/>
        <v>2.7</v>
      </c>
      <c r="V208" s="5">
        <f t="shared" si="35"/>
        <v>2.57</v>
      </c>
      <c r="W208" s="5">
        <f t="shared" si="35"/>
        <v>2.19</v>
      </c>
      <c r="X208" s="5">
        <f t="shared" si="35"/>
        <v>1.99</v>
      </c>
      <c r="Y208" s="5">
        <f t="shared" si="35"/>
        <v>1.79</v>
      </c>
      <c r="Z208" s="5">
        <f t="shared" si="35"/>
        <v>1.76</v>
      </c>
      <c r="AA208" s="5">
        <f t="shared" si="35"/>
        <v>1.63</v>
      </c>
      <c r="AB208" s="5">
        <f t="shared" si="35"/>
        <v>1.45</v>
      </c>
      <c r="AC208" s="5">
        <f t="shared" si="35"/>
        <v>1.29</v>
      </c>
      <c r="AD208" s="5">
        <f t="shared" si="35"/>
        <v>1.27</v>
      </c>
      <c r="AE208" s="5">
        <f t="shared" si="35"/>
        <v>1.17</v>
      </c>
      <c r="AF208" s="5">
        <f t="shared" si="35"/>
        <v>1.14</v>
      </c>
      <c r="AG208" s="5">
        <f t="shared" si="35"/>
        <v>1.12</v>
      </c>
      <c r="AH208" s="5">
        <f t="shared" si="27"/>
        <v>1.04</v>
      </c>
      <c r="AI208" s="5">
        <f t="shared" si="27"/>
        <v>0.99</v>
      </c>
      <c r="AJ208" s="5">
        <f t="shared" si="27"/>
        <v>0.97</v>
      </c>
    </row>
    <row r="209" spans="1:36">
      <c r="A209" t="str">
        <f>"primary_archetype_"&amp;TEXT(ROUND(Table213[[#This Row],[2016]],1),"0.0")</f>
        <v>primary_archetype_9.6</v>
      </c>
      <c r="B209" s="5">
        <f t="shared" si="34"/>
        <v>9.6</v>
      </c>
      <c r="C209" s="5">
        <f t="shared" si="36"/>
        <v>9.6</v>
      </c>
      <c r="D209" s="5">
        <f t="shared" si="36"/>
        <v>9.6</v>
      </c>
      <c r="E209" s="5">
        <f t="shared" si="36"/>
        <v>9.43</v>
      </c>
      <c r="F209" s="5">
        <f t="shared" si="36"/>
        <v>9.02</v>
      </c>
      <c r="G209" s="5">
        <f t="shared" si="36"/>
        <v>9.08</v>
      </c>
      <c r="H209" s="5">
        <f t="shared" si="36"/>
        <v>8.9</v>
      </c>
      <c r="I209" s="5">
        <f t="shared" si="36"/>
        <v>8.56</v>
      </c>
      <c r="J209" s="5">
        <f t="shared" si="36"/>
        <v>8.36</v>
      </c>
      <c r="K209" s="5">
        <f t="shared" si="36"/>
        <v>8.16</v>
      </c>
      <c r="L209" s="5">
        <f t="shared" si="36"/>
        <v>7.85</v>
      </c>
      <c r="M209" s="5">
        <f t="shared" si="36"/>
        <v>7.81</v>
      </c>
      <c r="N209" s="5">
        <f t="shared" si="36"/>
        <v>7.56</v>
      </c>
      <c r="O209" s="5">
        <f t="shared" si="36"/>
        <v>7.29</v>
      </c>
      <c r="P209" s="5">
        <f t="shared" si="36"/>
        <v>6.98</v>
      </c>
      <c r="Q209" s="5">
        <f t="shared" si="36"/>
        <v>6.05</v>
      </c>
      <c r="R209" s="5">
        <f t="shared" si="36"/>
        <v>4.81</v>
      </c>
      <c r="S209" s="5">
        <f t="shared" si="35"/>
        <v>4.41</v>
      </c>
      <c r="T209" s="5">
        <f t="shared" si="35"/>
        <v>3.55</v>
      </c>
      <c r="U209" s="5">
        <f t="shared" si="35"/>
        <v>2.68</v>
      </c>
      <c r="V209" s="5">
        <f t="shared" si="35"/>
        <v>2.55</v>
      </c>
      <c r="W209" s="5">
        <f t="shared" si="35"/>
        <v>2.17</v>
      </c>
      <c r="X209" s="5">
        <f t="shared" si="35"/>
        <v>1.98</v>
      </c>
      <c r="Y209" s="5">
        <f t="shared" si="35"/>
        <v>1.78</v>
      </c>
      <c r="Z209" s="5">
        <f t="shared" si="35"/>
        <v>1.75</v>
      </c>
      <c r="AA209" s="5">
        <f t="shared" si="35"/>
        <v>1.62</v>
      </c>
      <c r="AB209" s="5">
        <f t="shared" si="35"/>
        <v>1.44</v>
      </c>
      <c r="AC209" s="5">
        <f t="shared" si="35"/>
        <v>1.29</v>
      </c>
      <c r="AD209" s="5">
        <f t="shared" si="35"/>
        <v>1.27</v>
      </c>
      <c r="AE209" s="5">
        <f t="shared" si="35"/>
        <v>1.17</v>
      </c>
      <c r="AF209" s="5">
        <f t="shared" si="35"/>
        <v>1.14</v>
      </c>
      <c r="AG209" s="5">
        <f t="shared" si="35"/>
        <v>1.12</v>
      </c>
      <c r="AH209" s="5">
        <f t="shared" si="27"/>
        <v>1.04</v>
      </c>
      <c r="AI209" s="5">
        <f t="shared" si="27"/>
        <v>0.99</v>
      </c>
      <c r="AJ209" s="5">
        <f t="shared" si="27"/>
        <v>0.97</v>
      </c>
    </row>
    <row r="210" spans="1:36">
      <c r="A210" t="str">
        <f>"primary_archetype_"&amp;TEXT(ROUND(Table213[[#This Row],[2016]],1),"0.0")</f>
        <v>primary_archetype_9.5</v>
      </c>
      <c r="B210" s="5">
        <f t="shared" si="34"/>
        <v>9.5</v>
      </c>
      <c r="C210" s="5">
        <f t="shared" si="36"/>
        <v>9.5</v>
      </c>
      <c r="D210" s="5">
        <f t="shared" si="36"/>
        <v>9.5</v>
      </c>
      <c r="E210" s="5">
        <f t="shared" si="36"/>
        <v>9.33</v>
      </c>
      <c r="F210" s="5">
        <f t="shared" si="36"/>
        <v>8.93</v>
      </c>
      <c r="G210" s="5">
        <f t="shared" si="36"/>
        <v>8.98</v>
      </c>
      <c r="H210" s="5">
        <f t="shared" si="36"/>
        <v>8.81</v>
      </c>
      <c r="I210" s="5">
        <f t="shared" si="36"/>
        <v>8.47</v>
      </c>
      <c r="J210" s="5">
        <f t="shared" si="36"/>
        <v>8.28</v>
      </c>
      <c r="K210" s="5">
        <f t="shared" si="36"/>
        <v>8.08</v>
      </c>
      <c r="L210" s="5">
        <f t="shared" si="36"/>
        <v>7.77</v>
      </c>
      <c r="M210" s="5">
        <f t="shared" si="36"/>
        <v>7.73</v>
      </c>
      <c r="N210" s="5">
        <f t="shared" si="36"/>
        <v>7.48</v>
      </c>
      <c r="O210" s="5">
        <f t="shared" si="36"/>
        <v>7.22</v>
      </c>
      <c r="P210" s="5">
        <f t="shared" si="36"/>
        <v>6.91</v>
      </c>
      <c r="Q210" s="5">
        <f t="shared" si="36"/>
        <v>5.99</v>
      </c>
      <c r="R210" s="5">
        <f t="shared" si="36"/>
        <v>4.77</v>
      </c>
      <c r="S210" s="5">
        <f t="shared" si="35"/>
        <v>4.37</v>
      </c>
      <c r="T210" s="5">
        <f t="shared" si="35"/>
        <v>3.52</v>
      </c>
      <c r="U210" s="5">
        <f t="shared" si="35"/>
        <v>2.66</v>
      </c>
      <c r="V210" s="5">
        <f t="shared" si="35"/>
        <v>2.54</v>
      </c>
      <c r="W210" s="5">
        <f t="shared" si="35"/>
        <v>2.16</v>
      </c>
      <c r="X210" s="5">
        <f t="shared" si="35"/>
        <v>1.97</v>
      </c>
      <c r="Y210" s="5">
        <f t="shared" si="35"/>
        <v>1.77</v>
      </c>
      <c r="Z210" s="5">
        <f t="shared" si="35"/>
        <v>1.74</v>
      </c>
      <c r="AA210" s="5">
        <f t="shared" si="35"/>
        <v>1.62</v>
      </c>
      <c r="AB210" s="5">
        <f t="shared" si="35"/>
        <v>1.44</v>
      </c>
      <c r="AC210" s="5">
        <f t="shared" si="35"/>
        <v>1.29</v>
      </c>
      <c r="AD210" s="5">
        <f t="shared" si="35"/>
        <v>1.26</v>
      </c>
      <c r="AE210" s="5">
        <f t="shared" si="35"/>
        <v>1.16</v>
      </c>
      <c r="AF210" s="5">
        <f t="shared" si="35"/>
        <v>1.14</v>
      </c>
      <c r="AG210" s="5">
        <f t="shared" si="35"/>
        <v>1.11</v>
      </c>
      <c r="AH210" s="5">
        <f t="shared" si="27"/>
        <v>1.04</v>
      </c>
      <c r="AI210" s="5">
        <f t="shared" si="27"/>
        <v>0.99</v>
      </c>
      <c r="AJ210" s="5">
        <f t="shared" si="27"/>
        <v>0.97</v>
      </c>
    </row>
    <row r="211" spans="1:36">
      <c r="A211" t="str">
        <f>"primary_archetype_"&amp;TEXT(ROUND(Table213[[#This Row],[2016]],1),"0.0")</f>
        <v>primary_archetype_9.4</v>
      </c>
      <c r="B211" s="5">
        <f t="shared" si="34"/>
        <v>9.4</v>
      </c>
      <c r="C211" s="5">
        <f t="shared" si="36"/>
        <v>9.4</v>
      </c>
      <c r="D211" s="5">
        <f t="shared" si="36"/>
        <v>9.4</v>
      </c>
      <c r="E211" s="5">
        <f t="shared" si="36"/>
        <v>9.23</v>
      </c>
      <c r="F211" s="5">
        <f t="shared" si="36"/>
        <v>8.83</v>
      </c>
      <c r="G211" s="5">
        <f t="shared" si="36"/>
        <v>8.89</v>
      </c>
      <c r="H211" s="5">
        <f t="shared" si="36"/>
        <v>8.72</v>
      </c>
      <c r="I211" s="5">
        <f t="shared" si="36"/>
        <v>8.38</v>
      </c>
      <c r="J211" s="5">
        <f t="shared" si="36"/>
        <v>8.19</v>
      </c>
      <c r="K211" s="5">
        <f t="shared" si="36"/>
        <v>8</v>
      </c>
      <c r="L211" s="5">
        <f t="shared" si="36"/>
        <v>7.69</v>
      </c>
      <c r="M211" s="5">
        <f t="shared" si="36"/>
        <v>7.65</v>
      </c>
      <c r="N211" s="5">
        <f t="shared" si="36"/>
        <v>7.4</v>
      </c>
      <c r="O211" s="5">
        <f t="shared" si="36"/>
        <v>7.14</v>
      </c>
      <c r="P211" s="5">
        <f t="shared" si="36"/>
        <v>6.84</v>
      </c>
      <c r="Q211" s="5">
        <f t="shared" si="36"/>
        <v>5.94</v>
      </c>
      <c r="R211" s="5">
        <f t="shared" si="36"/>
        <v>4.72</v>
      </c>
      <c r="S211" s="5">
        <f t="shared" si="35"/>
        <v>4.33</v>
      </c>
      <c r="T211" s="5">
        <f t="shared" si="35"/>
        <v>3.49</v>
      </c>
      <c r="U211" s="5">
        <f t="shared" si="35"/>
        <v>2.64</v>
      </c>
      <c r="V211" s="5">
        <f t="shared" si="35"/>
        <v>2.52</v>
      </c>
      <c r="W211" s="5">
        <f t="shared" si="35"/>
        <v>2.15</v>
      </c>
      <c r="X211" s="5">
        <f t="shared" si="35"/>
        <v>1.96</v>
      </c>
      <c r="Y211" s="5">
        <f t="shared" si="35"/>
        <v>1.76</v>
      </c>
      <c r="Z211" s="5">
        <f t="shared" si="35"/>
        <v>1.73</v>
      </c>
      <c r="AA211" s="5">
        <f t="shared" si="35"/>
        <v>1.61</v>
      </c>
      <c r="AB211" s="5">
        <f t="shared" si="35"/>
        <v>1.43</v>
      </c>
      <c r="AC211" s="5">
        <f t="shared" si="35"/>
        <v>1.29</v>
      </c>
      <c r="AD211" s="5">
        <f t="shared" si="35"/>
        <v>1.26</v>
      </c>
      <c r="AE211" s="5">
        <f t="shared" si="35"/>
        <v>1.16</v>
      </c>
      <c r="AF211" s="5">
        <f t="shared" si="35"/>
        <v>1.13</v>
      </c>
      <c r="AG211" s="5">
        <f t="shared" si="35"/>
        <v>1.11</v>
      </c>
      <c r="AH211" s="5">
        <f t="shared" ref="AH211:AJ274" si="37">MROUND((($B211-$AH$2)*((AH$2-$AH$2)/($B$2-$AH$2)))+$AH$2,0.01)</f>
        <v>1.04</v>
      </c>
      <c r="AI211" s="5">
        <f t="shared" si="37"/>
        <v>0.99</v>
      </c>
      <c r="AJ211" s="5">
        <f t="shared" si="37"/>
        <v>0.97</v>
      </c>
    </row>
    <row r="212" spans="1:36">
      <c r="A212" t="str">
        <f>"primary_archetype_"&amp;TEXT(ROUND(Table213[[#This Row],[2016]],1),"0.0")</f>
        <v>primary_archetype_9.3</v>
      </c>
      <c r="B212" s="5">
        <f t="shared" si="34"/>
        <v>9.3</v>
      </c>
      <c r="C212" s="5">
        <f t="shared" si="36"/>
        <v>9.3</v>
      </c>
      <c r="D212" s="5">
        <f t="shared" si="36"/>
        <v>9.3</v>
      </c>
      <c r="E212" s="5">
        <f t="shared" si="36"/>
        <v>9.14</v>
      </c>
      <c r="F212" s="5">
        <f t="shared" si="36"/>
        <v>8.74</v>
      </c>
      <c r="G212" s="5">
        <f t="shared" si="36"/>
        <v>8.8</v>
      </c>
      <c r="H212" s="5">
        <f t="shared" si="36"/>
        <v>8.62</v>
      </c>
      <c r="I212" s="5">
        <f t="shared" si="36"/>
        <v>8.29</v>
      </c>
      <c r="J212" s="5">
        <f t="shared" si="36"/>
        <v>8.11</v>
      </c>
      <c r="K212" s="5">
        <f t="shared" si="36"/>
        <v>7.91</v>
      </c>
      <c r="L212" s="5">
        <f t="shared" si="36"/>
        <v>7.61</v>
      </c>
      <c r="M212" s="5">
        <f t="shared" si="36"/>
        <v>7.58</v>
      </c>
      <c r="N212" s="5">
        <f t="shared" si="36"/>
        <v>7.33</v>
      </c>
      <c r="O212" s="5">
        <f t="shared" si="36"/>
        <v>7.07</v>
      </c>
      <c r="P212" s="5">
        <f t="shared" si="36"/>
        <v>6.77</v>
      </c>
      <c r="Q212" s="5">
        <f t="shared" si="36"/>
        <v>5.88</v>
      </c>
      <c r="R212" s="5">
        <f t="shared" si="36"/>
        <v>4.68</v>
      </c>
      <c r="S212" s="5">
        <f t="shared" si="35"/>
        <v>4.29</v>
      </c>
      <c r="T212" s="5">
        <f t="shared" si="35"/>
        <v>3.46</v>
      </c>
      <c r="U212" s="5">
        <f t="shared" si="35"/>
        <v>2.62</v>
      </c>
      <c r="V212" s="5">
        <f t="shared" si="35"/>
        <v>2.5</v>
      </c>
      <c r="W212" s="5">
        <f t="shared" si="35"/>
        <v>2.13</v>
      </c>
      <c r="X212" s="5">
        <f t="shared" si="35"/>
        <v>1.95</v>
      </c>
      <c r="Y212" s="5">
        <f t="shared" si="35"/>
        <v>1.75</v>
      </c>
      <c r="Z212" s="5">
        <f t="shared" si="35"/>
        <v>1.72</v>
      </c>
      <c r="AA212" s="5">
        <f t="shared" si="35"/>
        <v>1.6</v>
      </c>
      <c r="AB212" s="5">
        <f t="shared" si="35"/>
        <v>1.43</v>
      </c>
      <c r="AC212" s="5">
        <f t="shared" si="35"/>
        <v>1.28</v>
      </c>
      <c r="AD212" s="5">
        <f t="shared" si="35"/>
        <v>1.26</v>
      </c>
      <c r="AE212" s="5">
        <f t="shared" si="35"/>
        <v>1.16</v>
      </c>
      <c r="AF212" s="5">
        <f t="shared" si="35"/>
        <v>1.13</v>
      </c>
      <c r="AG212" s="5">
        <f t="shared" si="35"/>
        <v>1.11</v>
      </c>
      <c r="AH212" s="5">
        <f t="shared" si="37"/>
        <v>1.04</v>
      </c>
      <c r="AI212" s="5">
        <f t="shared" si="37"/>
        <v>0.99</v>
      </c>
      <c r="AJ212" s="5">
        <f t="shared" si="37"/>
        <v>0.97</v>
      </c>
    </row>
    <row r="213" spans="1:36">
      <c r="A213" t="str">
        <f>"primary_archetype_"&amp;TEXT(ROUND(Table213[[#This Row],[2016]],1),"0.0")</f>
        <v>primary_archetype_9.2</v>
      </c>
      <c r="B213" s="5">
        <f t="shared" si="34"/>
        <v>9.2</v>
      </c>
      <c r="C213" s="5">
        <f t="shared" si="36"/>
        <v>9.2</v>
      </c>
      <c r="D213" s="5">
        <f t="shared" si="36"/>
        <v>9.2</v>
      </c>
      <c r="E213" s="5">
        <f t="shared" si="36"/>
        <v>9.04</v>
      </c>
      <c r="F213" s="5">
        <f t="shared" si="36"/>
        <v>8.65</v>
      </c>
      <c r="G213" s="5">
        <f t="shared" si="36"/>
        <v>8.7</v>
      </c>
      <c r="H213" s="5">
        <f t="shared" si="36"/>
        <v>8.53</v>
      </c>
      <c r="I213" s="5">
        <f t="shared" si="36"/>
        <v>8.2</v>
      </c>
      <c r="J213" s="5">
        <f t="shared" si="36"/>
        <v>8.02</v>
      </c>
      <c r="K213" s="5">
        <f t="shared" si="36"/>
        <v>7.83</v>
      </c>
      <c r="L213" s="5">
        <f t="shared" si="36"/>
        <v>7.53</v>
      </c>
      <c r="M213" s="5">
        <f t="shared" si="36"/>
        <v>7.5</v>
      </c>
      <c r="N213" s="5">
        <f t="shared" si="36"/>
        <v>7.25</v>
      </c>
      <c r="O213" s="5">
        <f t="shared" si="36"/>
        <v>7</v>
      </c>
      <c r="P213" s="5">
        <f t="shared" si="36"/>
        <v>6.7</v>
      </c>
      <c r="Q213" s="5">
        <f t="shared" si="36"/>
        <v>5.82</v>
      </c>
      <c r="R213" s="5">
        <f t="shared" si="36"/>
        <v>4.63</v>
      </c>
      <c r="S213" s="5">
        <f t="shared" si="35"/>
        <v>4.25</v>
      </c>
      <c r="T213" s="5">
        <f t="shared" si="35"/>
        <v>3.43</v>
      </c>
      <c r="U213" s="5">
        <f t="shared" si="35"/>
        <v>2.6</v>
      </c>
      <c r="V213" s="5">
        <f t="shared" si="35"/>
        <v>2.48</v>
      </c>
      <c r="W213" s="5">
        <f t="shared" si="35"/>
        <v>2.12</v>
      </c>
      <c r="X213" s="5">
        <f t="shared" si="35"/>
        <v>1.94</v>
      </c>
      <c r="Y213" s="5">
        <f t="shared" si="35"/>
        <v>1.75</v>
      </c>
      <c r="Z213" s="5">
        <f t="shared" si="35"/>
        <v>1.72</v>
      </c>
      <c r="AA213" s="5">
        <f t="shared" si="35"/>
        <v>1.6</v>
      </c>
      <c r="AB213" s="5">
        <f t="shared" si="35"/>
        <v>1.42</v>
      </c>
      <c r="AC213" s="5">
        <f t="shared" si="35"/>
        <v>1.28</v>
      </c>
      <c r="AD213" s="5">
        <f t="shared" si="35"/>
        <v>1.26</v>
      </c>
      <c r="AE213" s="5">
        <f t="shared" si="35"/>
        <v>1.16</v>
      </c>
      <c r="AF213" s="5">
        <f t="shared" si="35"/>
        <v>1.13</v>
      </c>
      <c r="AG213" s="5">
        <f t="shared" si="35"/>
        <v>1.11</v>
      </c>
      <c r="AH213" s="5">
        <f t="shared" si="37"/>
        <v>1.04</v>
      </c>
      <c r="AI213" s="5">
        <f t="shared" si="37"/>
        <v>0.99</v>
      </c>
      <c r="AJ213" s="5">
        <f t="shared" si="37"/>
        <v>0.97</v>
      </c>
    </row>
    <row r="214" spans="1:36">
      <c r="A214" t="str">
        <f>"primary_archetype_"&amp;TEXT(ROUND(Table213[[#This Row],[2016]],1),"0.0")</f>
        <v>primary_archetype_9.1</v>
      </c>
      <c r="B214" s="5">
        <f t="shared" si="34"/>
        <v>9.1</v>
      </c>
      <c r="C214" s="5">
        <f t="shared" si="36"/>
        <v>9.1</v>
      </c>
      <c r="D214" s="5">
        <f t="shared" si="36"/>
        <v>9.1</v>
      </c>
      <c r="E214" s="5">
        <f t="shared" si="36"/>
        <v>8.94</v>
      </c>
      <c r="F214" s="5">
        <f t="shared" si="36"/>
        <v>8.55</v>
      </c>
      <c r="G214" s="5">
        <f t="shared" si="36"/>
        <v>8.61</v>
      </c>
      <c r="H214" s="5">
        <f t="shared" si="36"/>
        <v>8.44</v>
      </c>
      <c r="I214" s="5">
        <f t="shared" si="36"/>
        <v>8.12</v>
      </c>
      <c r="J214" s="5">
        <f t="shared" si="36"/>
        <v>7.94</v>
      </c>
      <c r="K214" s="5">
        <f t="shared" si="36"/>
        <v>7.75</v>
      </c>
      <c r="L214" s="5">
        <f t="shared" si="36"/>
        <v>7.45</v>
      </c>
      <c r="M214" s="5">
        <f t="shared" si="36"/>
        <v>7.42</v>
      </c>
      <c r="N214" s="5">
        <f t="shared" si="36"/>
        <v>7.18</v>
      </c>
      <c r="O214" s="5">
        <f t="shared" si="36"/>
        <v>6.93</v>
      </c>
      <c r="P214" s="5">
        <f t="shared" si="36"/>
        <v>6.63</v>
      </c>
      <c r="Q214" s="5">
        <f t="shared" si="36"/>
        <v>5.76</v>
      </c>
      <c r="R214" s="5">
        <f t="shared" si="36"/>
        <v>4.59</v>
      </c>
      <c r="S214" s="5">
        <f t="shared" si="35"/>
        <v>4.22</v>
      </c>
      <c r="T214" s="5">
        <f t="shared" si="35"/>
        <v>3.4</v>
      </c>
      <c r="U214" s="5">
        <f t="shared" si="35"/>
        <v>2.59</v>
      </c>
      <c r="V214" s="5">
        <f t="shared" si="35"/>
        <v>2.47</v>
      </c>
      <c r="W214" s="5">
        <f t="shared" si="35"/>
        <v>2.11</v>
      </c>
      <c r="X214" s="5">
        <f t="shared" si="35"/>
        <v>1.93</v>
      </c>
      <c r="Y214" s="5">
        <f t="shared" si="35"/>
        <v>1.74</v>
      </c>
      <c r="Z214" s="5">
        <f t="shared" si="35"/>
        <v>1.71</v>
      </c>
      <c r="AA214" s="5">
        <f t="shared" si="35"/>
        <v>1.59</v>
      </c>
      <c r="AB214" s="5">
        <f t="shared" si="35"/>
        <v>1.42</v>
      </c>
      <c r="AC214" s="5">
        <f t="shared" si="35"/>
        <v>1.28</v>
      </c>
      <c r="AD214" s="5">
        <f t="shared" si="35"/>
        <v>1.25</v>
      </c>
      <c r="AE214" s="5">
        <f t="shared" si="35"/>
        <v>1.16</v>
      </c>
      <c r="AF214" s="5">
        <f t="shared" si="35"/>
        <v>1.13</v>
      </c>
      <c r="AG214" s="5">
        <f t="shared" si="35"/>
        <v>1.11</v>
      </c>
      <c r="AH214" s="5">
        <f t="shared" si="37"/>
        <v>1.04</v>
      </c>
      <c r="AI214" s="5">
        <f t="shared" si="37"/>
        <v>0.99</v>
      </c>
      <c r="AJ214" s="5">
        <f t="shared" si="37"/>
        <v>0.97</v>
      </c>
    </row>
    <row r="215" spans="1:36">
      <c r="A215" t="str">
        <f>"primary_archetype_"&amp;TEXT(ROUND(Table213[[#This Row],[2016]],1),"0.0")</f>
        <v>primary_archetype_9.0</v>
      </c>
      <c r="B215" s="5">
        <f t="shared" si="34"/>
        <v>9</v>
      </c>
      <c r="C215" s="5">
        <f t="shared" si="36"/>
        <v>9</v>
      </c>
      <c r="D215" s="5">
        <f t="shared" si="36"/>
        <v>9</v>
      </c>
      <c r="E215" s="5">
        <f t="shared" si="36"/>
        <v>8.84</v>
      </c>
      <c r="F215" s="5">
        <f t="shared" si="36"/>
        <v>8.46</v>
      </c>
      <c r="G215" s="5">
        <f t="shared" si="36"/>
        <v>8.51</v>
      </c>
      <c r="H215" s="5">
        <f t="shared" si="36"/>
        <v>8.35</v>
      </c>
      <c r="I215" s="5">
        <f t="shared" si="36"/>
        <v>8.03</v>
      </c>
      <c r="J215" s="5">
        <f t="shared" si="36"/>
        <v>7.85</v>
      </c>
      <c r="K215" s="5">
        <f t="shared" si="36"/>
        <v>7.67</v>
      </c>
      <c r="L215" s="5">
        <f t="shared" si="36"/>
        <v>7.37</v>
      </c>
      <c r="M215" s="5">
        <f t="shared" si="36"/>
        <v>7.34</v>
      </c>
      <c r="N215" s="5">
        <f t="shared" si="36"/>
        <v>7.1</v>
      </c>
      <c r="O215" s="5">
        <f t="shared" si="36"/>
        <v>6.85</v>
      </c>
      <c r="P215" s="5">
        <f t="shared" si="36"/>
        <v>6.56</v>
      </c>
      <c r="Q215" s="5">
        <f t="shared" si="36"/>
        <v>5.7</v>
      </c>
      <c r="R215" s="5">
        <f t="shared" si="36"/>
        <v>4.54</v>
      </c>
      <c r="S215" s="5">
        <f t="shared" si="35"/>
        <v>4.18</v>
      </c>
      <c r="T215" s="5">
        <f t="shared" si="35"/>
        <v>3.37</v>
      </c>
      <c r="U215" s="5">
        <f t="shared" si="35"/>
        <v>2.57</v>
      </c>
      <c r="V215" s="5">
        <f t="shared" si="35"/>
        <v>2.45</v>
      </c>
      <c r="W215" s="5">
        <f t="shared" si="35"/>
        <v>2.09</v>
      </c>
      <c r="X215" s="5">
        <f t="shared" si="35"/>
        <v>1.91</v>
      </c>
      <c r="Y215" s="5">
        <f t="shared" si="35"/>
        <v>1.73</v>
      </c>
      <c r="Z215" s="5">
        <f t="shared" si="35"/>
        <v>1.7</v>
      </c>
      <c r="AA215" s="5">
        <f t="shared" si="35"/>
        <v>1.58</v>
      </c>
      <c r="AB215" s="5">
        <f t="shared" si="35"/>
        <v>1.41</v>
      </c>
      <c r="AC215" s="5">
        <f t="shared" si="35"/>
        <v>1.27</v>
      </c>
      <c r="AD215" s="5">
        <f t="shared" si="35"/>
        <v>1.25</v>
      </c>
      <c r="AE215" s="5">
        <f t="shared" si="35"/>
        <v>1.16</v>
      </c>
      <c r="AF215" s="5">
        <f t="shared" si="35"/>
        <v>1.13</v>
      </c>
      <c r="AG215" s="5">
        <f t="shared" si="35"/>
        <v>1.11</v>
      </c>
      <c r="AH215" s="5">
        <f t="shared" si="37"/>
        <v>1.04</v>
      </c>
      <c r="AI215" s="5">
        <f t="shared" si="37"/>
        <v>1</v>
      </c>
      <c r="AJ215" s="5">
        <f t="shared" si="37"/>
        <v>0.98</v>
      </c>
    </row>
    <row r="216" spans="1:36">
      <c r="A216" t="str">
        <f>"primary_archetype_"&amp;TEXT(ROUND(Table213[[#This Row],[2016]],1),"0.0")</f>
        <v>primary_archetype_8.9</v>
      </c>
      <c r="B216" s="5">
        <f t="shared" si="34"/>
        <v>8.9</v>
      </c>
      <c r="C216" s="5">
        <f t="shared" si="36"/>
        <v>8.9</v>
      </c>
      <c r="D216" s="5">
        <f t="shared" si="36"/>
        <v>8.9</v>
      </c>
      <c r="E216" s="5">
        <f t="shared" si="36"/>
        <v>8.74</v>
      </c>
      <c r="F216" s="5">
        <f t="shared" si="36"/>
        <v>8.37</v>
      </c>
      <c r="G216" s="5">
        <f t="shared" si="36"/>
        <v>8.42</v>
      </c>
      <c r="H216" s="5">
        <f t="shared" si="36"/>
        <v>8.26</v>
      </c>
      <c r="I216" s="5">
        <f t="shared" si="36"/>
        <v>7.94</v>
      </c>
      <c r="J216" s="5">
        <f t="shared" si="36"/>
        <v>7.76</v>
      </c>
      <c r="K216" s="5">
        <f t="shared" si="36"/>
        <v>7.58</v>
      </c>
      <c r="L216" s="5">
        <f t="shared" si="36"/>
        <v>7.29</v>
      </c>
      <c r="M216" s="5">
        <f t="shared" si="36"/>
        <v>7.26</v>
      </c>
      <c r="N216" s="5">
        <f t="shared" si="36"/>
        <v>7.02</v>
      </c>
      <c r="O216" s="5">
        <f t="shared" si="36"/>
        <v>6.78</v>
      </c>
      <c r="P216" s="5">
        <f t="shared" si="36"/>
        <v>6.49</v>
      </c>
      <c r="Q216" s="5">
        <f t="shared" si="36"/>
        <v>5.64</v>
      </c>
      <c r="R216" s="5">
        <f t="shared" si="36"/>
        <v>4.5</v>
      </c>
      <c r="S216" s="5">
        <f t="shared" si="35"/>
        <v>4.14</v>
      </c>
      <c r="T216" s="5">
        <f t="shared" si="35"/>
        <v>3.34</v>
      </c>
      <c r="U216" s="5">
        <f t="shared" si="35"/>
        <v>2.55</v>
      </c>
      <c r="V216" s="5">
        <f t="shared" si="35"/>
        <v>2.43</v>
      </c>
      <c r="W216" s="5">
        <f t="shared" si="35"/>
        <v>2.08</v>
      </c>
      <c r="X216" s="5">
        <f t="shared" si="35"/>
        <v>1.9</v>
      </c>
      <c r="Y216" s="5">
        <f t="shared" si="35"/>
        <v>1.72</v>
      </c>
      <c r="Z216" s="5">
        <f t="shared" si="35"/>
        <v>1.69</v>
      </c>
      <c r="AA216" s="5">
        <f t="shared" si="35"/>
        <v>1.58</v>
      </c>
      <c r="AB216" s="5">
        <f t="shared" si="35"/>
        <v>1.41</v>
      </c>
      <c r="AC216" s="5">
        <f t="shared" si="35"/>
        <v>1.27</v>
      </c>
      <c r="AD216" s="5">
        <f t="shared" si="35"/>
        <v>1.25</v>
      </c>
      <c r="AE216" s="5">
        <f t="shared" si="35"/>
        <v>1.15</v>
      </c>
      <c r="AF216" s="5">
        <f t="shared" si="35"/>
        <v>1.13</v>
      </c>
      <c r="AG216" s="5">
        <f t="shared" si="35"/>
        <v>1.11</v>
      </c>
      <c r="AH216" s="5">
        <f t="shared" si="37"/>
        <v>1.04</v>
      </c>
      <c r="AI216" s="5">
        <f t="shared" si="37"/>
        <v>1</v>
      </c>
      <c r="AJ216" s="5">
        <f t="shared" si="37"/>
        <v>0.98</v>
      </c>
    </row>
    <row r="217" spans="1:36">
      <c r="A217" t="str">
        <f>"primary_archetype_"&amp;TEXT(ROUND(Table213[[#This Row],[2016]],1),"0.0")</f>
        <v>primary_archetype_8.8</v>
      </c>
      <c r="B217" s="5">
        <f t="shared" si="34"/>
        <v>8.8</v>
      </c>
      <c r="C217" s="5">
        <f t="shared" si="36"/>
        <v>8.8</v>
      </c>
      <c r="D217" s="5">
        <f t="shared" si="36"/>
        <v>8.8</v>
      </c>
      <c r="E217" s="5">
        <f t="shared" si="36"/>
        <v>8.65</v>
      </c>
      <c r="F217" s="5">
        <f t="shared" si="36"/>
        <v>8.27</v>
      </c>
      <c r="G217" s="5">
        <f t="shared" si="36"/>
        <v>8.33</v>
      </c>
      <c r="H217" s="5">
        <f t="shared" si="36"/>
        <v>8.17</v>
      </c>
      <c r="I217" s="5">
        <f t="shared" si="36"/>
        <v>7.85</v>
      </c>
      <c r="J217" s="5">
        <f t="shared" si="36"/>
        <v>7.68</v>
      </c>
      <c r="K217" s="5">
        <f t="shared" si="36"/>
        <v>7.5</v>
      </c>
      <c r="L217" s="5">
        <f t="shared" si="36"/>
        <v>7.21</v>
      </c>
      <c r="M217" s="5">
        <f t="shared" si="36"/>
        <v>7.18</v>
      </c>
      <c r="N217" s="5">
        <f t="shared" si="36"/>
        <v>6.95</v>
      </c>
      <c r="O217" s="5">
        <f t="shared" si="36"/>
        <v>6.71</v>
      </c>
      <c r="P217" s="5">
        <f t="shared" si="36"/>
        <v>6.42</v>
      </c>
      <c r="Q217" s="5">
        <f t="shared" si="36"/>
        <v>5.58</v>
      </c>
      <c r="R217" s="5">
        <f t="shared" si="36"/>
        <v>4.46</v>
      </c>
      <c r="S217" s="5">
        <f t="shared" si="35"/>
        <v>4.1</v>
      </c>
      <c r="T217" s="5">
        <f t="shared" si="35"/>
        <v>3.32</v>
      </c>
      <c r="U217" s="5">
        <f t="shared" si="35"/>
        <v>2.53</v>
      </c>
      <c r="V217" s="5">
        <f t="shared" si="35"/>
        <v>2.41</v>
      </c>
      <c r="W217" s="5">
        <f t="shared" si="35"/>
        <v>2.07</v>
      </c>
      <c r="X217" s="5">
        <f t="shared" si="35"/>
        <v>1.89</v>
      </c>
      <c r="Y217" s="5">
        <f t="shared" si="35"/>
        <v>1.71</v>
      </c>
      <c r="Z217" s="5">
        <f t="shared" si="35"/>
        <v>1.68</v>
      </c>
      <c r="AA217" s="5">
        <f t="shared" si="35"/>
        <v>1.57</v>
      </c>
      <c r="AB217" s="5">
        <f t="shared" si="35"/>
        <v>1.4</v>
      </c>
      <c r="AC217" s="5">
        <f t="shared" si="35"/>
        <v>1.27</v>
      </c>
      <c r="AD217" s="5">
        <f t="shared" si="35"/>
        <v>1.24</v>
      </c>
      <c r="AE217" s="5">
        <f t="shared" si="35"/>
        <v>1.15</v>
      </c>
      <c r="AF217" s="5">
        <f t="shared" si="35"/>
        <v>1.13</v>
      </c>
      <c r="AG217" s="5">
        <f t="shared" si="35"/>
        <v>1.11</v>
      </c>
      <c r="AH217" s="5">
        <f t="shared" si="37"/>
        <v>1.04</v>
      </c>
      <c r="AI217" s="5">
        <f t="shared" si="37"/>
        <v>1</v>
      </c>
      <c r="AJ217" s="5">
        <f t="shared" si="37"/>
        <v>0.98</v>
      </c>
    </row>
    <row r="218" spans="1:36">
      <c r="A218" t="str">
        <f>"primary_archetype_"&amp;TEXT(ROUND(Table213[[#This Row],[2016]],1),"0.0")</f>
        <v>primary_archetype_8.7</v>
      </c>
      <c r="B218" s="5">
        <f t="shared" si="34"/>
        <v>8.7</v>
      </c>
      <c r="C218" s="5">
        <f t="shared" si="36"/>
        <v>8.7</v>
      </c>
      <c r="D218" s="5">
        <f t="shared" si="36"/>
        <v>8.7</v>
      </c>
      <c r="E218" s="5">
        <f t="shared" si="36"/>
        <v>8.55</v>
      </c>
      <c r="F218" s="5">
        <f t="shared" si="36"/>
        <v>8.18</v>
      </c>
      <c r="G218" s="5">
        <f t="shared" si="36"/>
        <v>8.23</v>
      </c>
      <c r="H218" s="5">
        <f t="shared" si="36"/>
        <v>8.07</v>
      </c>
      <c r="I218" s="5">
        <f t="shared" si="36"/>
        <v>7.77</v>
      </c>
      <c r="J218" s="5">
        <f t="shared" si="36"/>
        <v>7.59</v>
      </c>
      <c r="K218" s="5">
        <f t="shared" si="36"/>
        <v>7.42</v>
      </c>
      <c r="L218" s="5">
        <f t="shared" si="36"/>
        <v>7.14</v>
      </c>
      <c r="M218" s="5">
        <f t="shared" si="36"/>
        <v>7.1</v>
      </c>
      <c r="N218" s="5">
        <f t="shared" si="36"/>
        <v>6.87</v>
      </c>
      <c r="O218" s="5">
        <f t="shared" si="36"/>
        <v>6.63</v>
      </c>
      <c r="P218" s="5">
        <f t="shared" si="36"/>
        <v>6.35</v>
      </c>
      <c r="Q218" s="5">
        <f t="shared" si="36"/>
        <v>5.53</v>
      </c>
      <c r="R218" s="5">
        <f t="shared" si="36"/>
        <v>4.41</v>
      </c>
      <c r="S218" s="5">
        <f t="shared" si="35"/>
        <v>4.06</v>
      </c>
      <c r="T218" s="5">
        <f t="shared" si="35"/>
        <v>3.29</v>
      </c>
      <c r="U218" s="5">
        <f t="shared" si="35"/>
        <v>2.51</v>
      </c>
      <c r="V218" s="5">
        <f t="shared" si="35"/>
        <v>2.4</v>
      </c>
      <c r="W218" s="5">
        <f t="shared" si="35"/>
        <v>2.05</v>
      </c>
      <c r="X218" s="5">
        <f t="shared" si="35"/>
        <v>1.88</v>
      </c>
      <c r="Y218" s="5">
        <f t="shared" si="35"/>
        <v>1.7</v>
      </c>
      <c r="Z218" s="5">
        <f t="shared" si="35"/>
        <v>1.67</v>
      </c>
      <c r="AA218" s="5">
        <f t="shared" si="35"/>
        <v>1.56</v>
      </c>
      <c r="AB218" s="5">
        <f t="shared" si="35"/>
        <v>1.4</v>
      </c>
      <c r="AC218" s="5">
        <f t="shared" si="35"/>
        <v>1.26</v>
      </c>
      <c r="AD218" s="5">
        <f t="shared" si="35"/>
        <v>1.24</v>
      </c>
      <c r="AE218" s="5">
        <f t="shared" si="35"/>
        <v>1.15</v>
      </c>
      <c r="AF218" s="5">
        <f t="shared" si="35"/>
        <v>1.13</v>
      </c>
      <c r="AG218" s="5">
        <f t="shared" si="35"/>
        <v>1.11</v>
      </c>
      <c r="AH218" s="5">
        <f t="shared" si="37"/>
        <v>1.04</v>
      </c>
      <c r="AI218" s="5">
        <f t="shared" si="37"/>
        <v>1</v>
      </c>
      <c r="AJ218" s="5">
        <f t="shared" si="37"/>
        <v>0.98</v>
      </c>
    </row>
    <row r="219" spans="1:36">
      <c r="A219" t="str">
        <f>"primary_archetype_"&amp;TEXT(ROUND(Table213[[#This Row],[2016]],1),"0.0")</f>
        <v>primary_archetype_8.6</v>
      </c>
      <c r="B219" s="5">
        <f t="shared" si="34"/>
        <v>8.6</v>
      </c>
      <c r="C219" s="5">
        <f t="shared" si="36"/>
        <v>8.6</v>
      </c>
      <c r="D219" s="5">
        <f t="shared" si="36"/>
        <v>8.6</v>
      </c>
      <c r="E219" s="5">
        <f t="shared" si="36"/>
        <v>8.45</v>
      </c>
      <c r="F219" s="5">
        <f t="shared" si="36"/>
        <v>8.09</v>
      </c>
      <c r="G219" s="5">
        <f t="shared" si="36"/>
        <v>8.14</v>
      </c>
      <c r="H219" s="5">
        <f t="shared" si="36"/>
        <v>7.98</v>
      </c>
      <c r="I219" s="5">
        <f t="shared" si="36"/>
        <v>7.68</v>
      </c>
      <c r="J219" s="5">
        <f t="shared" si="36"/>
        <v>7.51</v>
      </c>
      <c r="K219" s="5">
        <f t="shared" si="36"/>
        <v>7.33</v>
      </c>
      <c r="L219" s="5">
        <f t="shared" si="36"/>
        <v>7.06</v>
      </c>
      <c r="M219" s="5">
        <f t="shared" si="36"/>
        <v>7.02</v>
      </c>
      <c r="N219" s="5">
        <f t="shared" si="36"/>
        <v>6.8</v>
      </c>
      <c r="O219" s="5">
        <f t="shared" si="36"/>
        <v>6.56</v>
      </c>
      <c r="P219" s="5">
        <f t="shared" si="36"/>
        <v>6.28</v>
      </c>
      <c r="Q219" s="5">
        <f t="shared" si="36"/>
        <v>5.47</v>
      </c>
      <c r="R219" s="5">
        <f t="shared" si="36"/>
        <v>4.37</v>
      </c>
      <c r="S219" s="5">
        <f t="shared" si="35"/>
        <v>4.02</v>
      </c>
      <c r="T219" s="5">
        <f t="shared" si="35"/>
        <v>3.26</v>
      </c>
      <c r="U219" s="5">
        <f t="shared" si="35"/>
        <v>2.49</v>
      </c>
      <c r="V219" s="5">
        <f t="shared" si="35"/>
        <v>2.38</v>
      </c>
      <c r="W219" s="5">
        <f t="shared" si="35"/>
        <v>2.04</v>
      </c>
      <c r="X219" s="5">
        <f t="shared" si="35"/>
        <v>1.87</v>
      </c>
      <c r="Y219" s="5">
        <f t="shared" si="35"/>
        <v>1.69</v>
      </c>
      <c r="Z219" s="5">
        <f t="shared" si="35"/>
        <v>1.67</v>
      </c>
      <c r="AA219" s="5">
        <f t="shared" si="35"/>
        <v>1.56</v>
      </c>
      <c r="AB219" s="5">
        <f t="shared" si="35"/>
        <v>1.39</v>
      </c>
      <c r="AC219" s="5">
        <f t="shared" si="35"/>
        <v>1.26</v>
      </c>
      <c r="AD219" s="5">
        <f t="shared" si="35"/>
        <v>1.24</v>
      </c>
      <c r="AE219" s="5">
        <f t="shared" si="35"/>
        <v>1.15</v>
      </c>
      <c r="AF219" s="5">
        <f t="shared" si="35"/>
        <v>1.13</v>
      </c>
      <c r="AG219" s="5">
        <f t="shared" si="35"/>
        <v>1.11</v>
      </c>
      <c r="AH219" s="5">
        <f t="shared" si="37"/>
        <v>1.04</v>
      </c>
      <c r="AI219" s="5">
        <f t="shared" si="37"/>
        <v>1</v>
      </c>
      <c r="AJ219" s="5">
        <f t="shared" si="37"/>
        <v>0.98</v>
      </c>
    </row>
    <row r="220" spans="1:36">
      <c r="A220" t="str">
        <f>"primary_archetype_"&amp;TEXT(ROUND(Table213[[#This Row],[2016]],1),"0.0")</f>
        <v>primary_archetype_8.5</v>
      </c>
      <c r="B220" s="5">
        <f t="shared" si="34"/>
        <v>8.5</v>
      </c>
      <c r="C220" s="5">
        <f t="shared" si="36"/>
        <v>8.5</v>
      </c>
      <c r="D220" s="5">
        <f t="shared" si="36"/>
        <v>8.5</v>
      </c>
      <c r="E220" s="5">
        <f t="shared" si="36"/>
        <v>8.35</v>
      </c>
      <c r="F220" s="5">
        <f t="shared" si="36"/>
        <v>8</v>
      </c>
      <c r="G220" s="5">
        <f t="shared" si="36"/>
        <v>8.05</v>
      </c>
      <c r="H220" s="5">
        <f t="shared" si="36"/>
        <v>7.89</v>
      </c>
      <c r="I220" s="5">
        <f t="shared" si="36"/>
        <v>7.59</v>
      </c>
      <c r="J220" s="5">
        <f t="shared" si="36"/>
        <v>7.42</v>
      </c>
      <c r="K220" s="5">
        <f t="shared" si="36"/>
        <v>7.25</v>
      </c>
      <c r="L220" s="5">
        <f t="shared" si="36"/>
        <v>6.98</v>
      </c>
      <c r="M220" s="5">
        <f t="shared" si="36"/>
        <v>6.94</v>
      </c>
      <c r="N220" s="5">
        <f t="shared" si="36"/>
        <v>6.72</v>
      </c>
      <c r="O220" s="5">
        <f t="shared" si="36"/>
        <v>6.49</v>
      </c>
      <c r="P220" s="5">
        <f t="shared" si="36"/>
        <v>6.21</v>
      </c>
      <c r="Q220" s="5">
        <f t="shared" si="36"/>
        <v>5.41</v>
      </c>
      <c r="R220" s="5">
        <f t="shared" ref="R220:AG235" si="38">MROUND((($B220-$AH$2)*((R$2-$AH$2)/($B$2-$AH$2)))+$AH$2,0.01)</f>
        <v>4.32</v>
      </c>
      <c r="S220" s="5">
        <f t="shared" si="38"/>
        <v>3.98</v>
      </c>
      <c r="T220" s="5">
        <f t="shared" si="38"/>
        <v>3.23</v>
      </c>
      <c r="U220" s="5">
        <f t="shared" si="38"/>
        <v>2.47</v>
      </c>
      <c r="V220" s="5">
        <f t="shared" si="38"/>
        <v>2.36</v>
      </c>
      <c r="W220" s="5">
        <f t="shared" si="38"/>
        <v>2.03</v>
      </c>
      <c r="X220" s="5">
        <f t="shared" si="38"/>
        <v>1.86</v>
      </c>
      <c r="Y220" s="5">
        <f t="shared" si="38"/>
        <v>1.68</v>
      </c>
      <c r="Z220" s="5">
        <f t="shared" si="38"/>
        <v>1.66</v>
      </c>
      <c r="AA220" s="5">
        <f t="shared" si="38"/>
        <v>1.55</v>
      </c>
      <c r="AB220" s="5">
        <f t="shared" si="38"/>
        <v>1.39</v>
      </c>
      <c r="AC220" s="5">
        <f t="shared" si="38"/>
        <v>1.26</v>
      </c>
      <c r="AD220" s="5">
        <f t="shared" si="38"/>
        <v>1.24</v>
      </c>
      <c r="AE220" s="5">
        <f t="shared" si="38"/>
        <v>1.15</v>
      </c>
      <c r="AF220" s="5">
        <f t="shared" si="38"/>
        <v>1.12</v>
      </c>
      <c r="AG220" s="5">
        <f t="shared" si="38"/>
        <v>1.11</v>
      </c>
      <c r="AH220" s="5">
        <f t="shared" si="37"/>
        <v>1.04</v>
      </c>
      <c r="AI220" s="5">
        <f t="shared" si="37"/>
        <v>1</v>
      </c>
      <c r="AJ220" s="5">
        <f t="shared" si="37"/>
        <v>0.98</v>
      </c>
    </row>
    <row r="221" spans="1:36">
      <c r="A221" t="str">
        <f>"primary_archetype_"&amp;TEXT(ROUND(Table213[[#This Row],[2016]],1),"0.0")</f>
        <v>primary_archetype_8.4</v>
      </c>
      <c r="B221" s="5">
        <f t="shared" si="34"/>
        <v>8.4</v>
      </c>
      <c r="C221" s="5">
        <f t="shared" ref="C221:R236" si="39">MROUND((($B221-$AH$2)*((C$2-$AH$2)/($B$2-$AH$2)))+$AH$2,0.01)</f>
        <v>8.4</v>
      </c>
      <c r="D221" s="5">
        <f t="shared" si="39"/>
        <v>8.4</v>
      </c>
      <c r="E221" s="5">
        <f t="shared" si="39"/>
        <v>8.25</v>
      </c>
      <c r="F221" s="5">
        <f t="shared" si="39"/>
        <v>7.9</v>
      </c>
      <c r="G221" s="5">
        <f t="shared" si="39"/>
        <v>7.95</v>
      </c>
      <c r="H221" s="5">
        <f t="shared" si="39"/>
        <v>7.8</v>
      </c>
      <c r="I221" s="5">
        <f t="shared" si="39"/>
        <v>7.5</v>
      </c>
      <c r="J221" s="5">
        <f t="shared" si="39"/>
        <v>7.34</v>
      </c>
      <c r="K221" s="5">
        <f t="shared" si="39"/>
        <v>7.17</v>
      </c>
      <c r="L221" s="5">
        <f t="shared" si="39"/>
        <v>6.9</v>
      </c>
      <c r="M221" s="5">
        <f t="shared" si="39"/>
        <v>6.86</v>
      </c>
      <c r="N221" s="5">
        <f t="shared" si="39"/>
        <v>6.64</v>
      </c>
      <c r="O221" s="5">
        <f t="shared" si="39"/>
        <v>6.41</v>
      </c>
      <c r="P221" s="5">
        <f t="shared" si="39"/>
        <v>6.14</v>
      </c>
      <c r="Q221" s="5">
        <f t="shared" si="39"/>
        <v>5.35</v>
      </c>
      <c r="R221" s="5">
        <f t="shared" si="39"/>
        <v>4.28</v>
      </c>
      <c r="S221" s="5">
        <f t="shared" si="38"/>
        <v>3.94</v>
      </c>
      <c r="T221" s="5">
        <f t="shared" si="38"/>
        <v>3.2</v>
      </c>
      <c r="U221" s="5">
        <f t="shared" si="38"/>
        <v>2.45</v>
      </c>
      <c r="V221" s="5">
        <f t="shared" si="38"/>
        <v>2.34</v>
      </c>
      <c r="W221" s="5">
        <f t="shared" si="38"/>
        <v>2.01</v>
      </c>
      <c r="X221" s="5">
        <f t="shared" si="38"/>
        <v>1.85</v>
      </c>
      <c r="Y221" s="5">
        <f t="shared" si="38"/>
        <v>1.68</v>
      </c>
      <c r="Z221" s="5">
        <f t="shared" si="38"/>
        <v>1.65</v>
      </c>
      <c r="AA221" s="5">
        <f t="shared" si="38"/>
        <v>1.54</v>
      </c>
      <c r="AB221" s="5">
        <f t="shared" si="38"/>
        <v>1.38</v>
      </c>
      <c r="AC221" s="5">
        <f t="shared" si="38"/>
        <v>1.26</v>
      </c>
      <c r="AD221" s="5">
        <f t="shared" si="38"/>
        <v>1.23</v>
      </c>
      <c r="AE221" s="5">
        <f t="shared" si="38"/>
        <v>1.15</v>
      </c>
      <c r="AF221" s="5">
        <f t="shared" si="38"/>
        <v>1.12</v>
      </c>
      <c r="AG221" s="5">
        <f t="shared" si="38"/>
        <v>1.1</v>
      </c>
      <c r="AH221" s="5">
        <f t="shared" si="37"/>
        <v>1.04</v>
      </c>
      <c r="AI221" s="5">
        <f t="shared" si="37"/>
        <v>1</v>
      </c>
      <c r="AJ221" s="5">
        <f t="shared" si="37"/>
        <v>0.98</v>
      </c>
    </row>
    <row r="222" spans="1:36">
      <c r="A222" t="str">
        <f>"primary_archetype_"&amp;TEXT(ROUND(Table213[[#This Row],[2016]],1),"0.0")</f>
        <v>primary_archetype_8.3</v>
      </c>
      <c r="B222" s="5">
        <f t="shared" si="34"/>
        <v>8.3</v>
      </c>
      <c r="C222" s="5">
        <f t="shared" si="39"/>
        <v>8.3</v>
      </c>
      <c r="D222" s="5">
        <f t="shared" si="39"/>
        <v>8.3</v>
      </c>
      <c r="E222" s="5">
        <f t="shared" si="39"/>
        <v>8.16</v>
      </c>
      <c r="F222" s="5">
        <f t="shared" si="39"/>
        <v>7.81</v>
      </c>
      <c r="G222" s="5">
        <f t="shared" si="39"/>
        <v>7.86</v>
      </c>
      <c r="H222" s="5">
        <f t="shared" si="39"/>
        <v>7.71</v>
      </c>
      <c r="I222" s="5">
        <f t="shared" si="39"/>
        <v>7.41</v>
      </c>
      <c r="J222" s="5">
        <f t="shared" si="39"/>
        <v>7.25</v>
      </c>
      <c r="K222" s="5">
        <f t="shared" si="39"/>
        <v>7.08</v>
      </c>
      <c r="L222" s="5">
        <f t="shared" si="39"/>
        <v>6.82</v>
      </c>
      <c r="M222" s="5">
        <f t="shared" si="39"/>
        <v>6.78</v>
      </c>
      <c r="N222" s="5">
        <f t="shared" si="39"/>
        <v>6.57</v>
      </c>
      <c r="O222" s="5">
        <f t="shared" si="39"/>
        <v>6.34</v>
      </c>
      <c r="P222" s="5">
        <f t="shared" si="39"/>
        <v>6.07</v>
      </c>
      <c r="Q222" s="5">
        <f t="shared" si="39"/>
        <v>5.29</v>
      </c>
      <c r="R222" s="5">
        <f t="shared" si="39"/>
        <v>4.24</v>
      </c>
      <c r="S222" s="5">
        <f t="shared" si="38"/>
        <v>3.9</v>
      </c>
      <c r="T222" s="5">
        <f t="shared" si="38"/>
        <v>3.17</v>
      </c>
      <c r="U222" s="5">
        <f t="shared" si="38"/>
        <v>2.43</v>
      </c>
      <c r="V222" s="5">
        <f t="shared" si="38"/>
        <v>2.32</v>
      </c>
      <c r="W222" s="5">
        <f t="shared" si="38"/>
        <v>2</v>
      </c>
      <c r="X222" s="5">
        <f t="shared" si="38"/>
        <v>1.84</v>
      </c>
      <c r="Y222" s="5">
        <f t="shared" si="38"/>
        <v>1.67</v>
      </c>
      <c r="Z222" s="5">
        <f t="shared" si="38"/>
        <v>1.64</v>
      </c>
      <c r="AA222" s="5">
        <f t="shared" si="38"/>
        <v>1.53</v>
      </c>
      <c r="AB222" s="5">
        <f t="shared" si="38"/>
        <v>1.38</v>
      </c>
      <c r="AC222" s="5">
        <f t="shared" si="38"/>
        <v>1.25</v>
      </c>
      <c r="AD222" s="5">
        <f t="shared" si="38"/>
        <v>1.23</v>
      </c>
      <c r="AE222" s="5">
        <f t="shared" si="38"/>
        <v>1.15</v>
      </c>
      <c r="AF222" s="5">
        <f t="shared" si="38"/>
        <v>1.12</v>
      </c>
      <c r="AG222" s="5">
        <f t="shared" si="38"/>
        <v>1.1</v>
      </c>
      <c r="AH222" s="5">
        <f t="shared" si="37"/>
        <v>1.04</v>
      </c>
      <c r="AI222" s="5">
        <f t="shared" si="37"/>
        <v>1</v>
      </c>
      <c r="AJ222" s="5">
        <f t="shared" si="37"/>
        <v>0.98</v>
      </c>
    </row>
    <row r="223" spans="1:36">
      <c r="A223" t="str">
        <f>"primary_archetype_"&amp;TEXT(ROUND(Table213[[#This Row],[2016]],1),"0.0")</f>
        <v>primary_archetype_8.2</v>
      </c>
      <c r="B223" s="5">
        <f t="shared" si="34"/>
        <v>8.2</v>
      </c>
      <c r="C223" s="5">
        <f t="shared" si="39"/>
        <v>8.2</v>
      </c>
      <c r="D223" s="5">
        <f t="shared" si="39"/>
        <v>8.2</v>
      </c>
      <c r="E223" s="5">
        <f t="shared" si="39"/>
        <v>8.06</v>
      </c>
      <c r="F223" s="5">
        <f t="shared" si="39"/>
        <v>7.72</v>
      </c>
      <c r="G223" s="5">
        <f t="shared" si="39"/>
        <v>7.76</v>
      </c>
      <c r="H223" s="5">
        <f t="shared" si="39"/>
        <v>7.61</v>
      </c>
      <c r="I223" s="5">
        <f t="shared" si="39"/>
        <v>7.33</v>
      </c>
      <c r="J223" s="5">
        <f t="shared" si="39"/>
        <v>7.17</v>
      </c>
      <c r="K223" s="5">
        <f t="shared" si="39"/>
        <v>7</v>
      </c>
      <c r="L223" s="5">
        <f t="shared" si="39"/>
        <v>6.74</v>
      </c>
      <c r="M223" s="5">
        <f t="shared" si="39"/>
        <v>6.71</v>
      </c>
      <c r="N223" s="5">
        <f t="shared" si="39"/>
        <v>6.49</v>
      </c>
      <c r="O223" s="5">
        <f t="shared" si="39"/>
        <v>6.27</v>
      </c>
      <c r="P223" s="5">
        <f t="shared" si="39"/>
        <v>6</v>
      </c>
      <c r="Q223" s="5">
        <f t="shared" si="39"/>
        <v>5.23</v>
      </c>
      <c r="R223" s="5">
        <f t="shared" si="39"/>
        <v>4.19</v>
      </c>
      <c r="S223" s="5">
        <f t="shared" si="38"/>
        <v>3.86</v>
      </c>
      <c r="T223" s="5">
        <f t="shared" si="38"/>
        <v>3.14</v>
      </c>
      <c r="U223" s="5">
        <f t="shared" si="38"/>
        <v>2.41</v>
      </c>
      <c r="V223" s="5">
        <f t="shared" si="38"/>
        <v>2.31</v>
      </c>
      <c r="W223" s="5">
        <f t="shared" si="38"/>
        <v>1.99</v>
      </c>
      <c r="X223" s="5">
        <f t="shared" si="38"/>
        <v>1.83</v>
      </c>
      <c r="Y223" s="5">
        <f t="shared" si="38"/>
        <v>1.66</v>
      </c>
      <c r="Z223" s="5">
        <f t="shared" si="38"/>
        <v>1.63</v>
      </c>
      <c r="AA223" s="5">
        <f t="shared" si="38"/>
        <v>1.53</v>
      </c>
      <c r="AB223" s="5">
        <f t="shared" si="38"/>
        <v>1.37</v>
      </c>
      <c r="AC223" s="5">
        <f t="shared" si="38"/>
        <v>1.25</v>
      </c>
      <c r="AD223" s="5">
        <f t="shared" si="38"/>
        <v>1.23</v>
      </c>
      <c r="AE223" s="5">
        <f t="shared" si="38"/>
        <v>1.14</v>
      </c>
      <c r="AF223" s="5">
        <f t="shared" si="38"/>
        <v>1.12</v>
      </c>
      <c r="AG223" s="5">
        <f t="shared" si="38"/>
        <v>1.1</v>
      </c>
      <c r="AH223" s="5">
        <f t="shared" si="37"/>
        <v>1.04</v>
      </c>
      <c r="AI223" s="5">
        <f t="shared" si="37"/>
        <v>1</v>
      </c>
      <c r="AJ223" s="5">
        <f t="shared" si="37"/>
        <v>0.98</v>
      </c>
    </row>
    <row r="224" spans="1:36">
      <c r="A224" t="str">
        <f>"primary_archetype_"&amp;TEXT(ROUND(Table213[[#This Row],[2016]],1),"0.0")</f>
        <v>primary_archetype_8.1</v>
      </c>
      <c r="B224" s="5">
        <f t="shared" si="34"/>
        <v>8.1</v>
      </c>
      <c r="C224" s="5">
        <f t="shared" si="39"/>
        <v>8.1</v>
      </c>
      <c r="D224" s="5">
        <f t="shared" si="39"/>
        <v>8.1</v>
      </c>
      <c r="E224" s="5">
        <f t="shared" si="39"/>
        <v>7.96</v>
      </c>
      <c r="F224" s="5">
        <f t="shared" si="39"/>
        <v>7.62</v>
      </c>
      <c r="G224" s="5">
        <f t="shared" si="39"/>
        <v>7.67</v>
      </c>
      <c r="H224" s="5">
        <f t="shared" si="39"/>
        <v>7.52</v>
      </c>
      <c r="I224" s="5">
        <f t="shared" si="39"/>
        <v>7.24</v>
      </c>
      <c r="J224" s="5">
        <f t="shared" si="39"/>
        <v>7.08</v>
      </c>
      <c r="K224" s="5">
        <f t="shared" si="39"/>
        <v>6.92</v>
      </c>
      <c r="L224" s="5">
        <f t="shared" si="39"/>
        <v>6.66</v>
      </c>
      <c r="M224" s="5">
        <f t="shared" si="39"/>
        <v>6.63</v>
      </c>
      <c r="N224" s="5">
        <f t="shared" si="39"/>
        <v>6.41</v>
      </c>
      <c r="O224" s="5">
        <f t="shared" si="39"/>
        <v>6.19</v>
      </c>
      <c r="P224" s="5">
        <f t="shared" si="39"/>
        <v>5.94</v>
      </c>
      <c r="Q224" s="5">
        <f t="shared" si="39"/>
        <v>5.17</v>
      </c>
      <c r="R224" s="5">
        <f t="shared" si="39"/>
        <v>4.15</v>
      </c>
      <c r="S224" s="5">
        <f t="shared" si="38"/>
        <v>3.82</v>
      </c>
      <c r="T224" s="5">
        <f t="shared" si="38"/>
        <v>3.11</v>
      </c>
      <c r="U224" s="5">
        <f t="shared" si="38"/>
        <v>2.39</v>
      </c>
      <c r="V224" s="5">
        <f t="shared" si="38"/>
        <v>2.29</v>
      </c>
      <c r="W224" s="5">
        <f t="shared" si="38"/>
        <v>1.98</v>
      </c>
      <c r="X224" s="5">
        <f t="shared" si="38"/>
        <v>1.82</v>
      </c>
      <c r="Y224" s="5">
        <f t="shared" si="38"/>
        <v>1.65</v>
      </c>
      <c r="Z224" s="5">
        <f t="shared" si="38"/>
        <v>1.62</v>
      </c>
      <c r="AA224" s="5">
        <f t="shared" si="38"/>
        <v>1.52</v>
      </c>
      <c r="AB224" s="5">
        <f t="shared" si="38"/>
        <v>1.37</v>
      </c>
      <c r="AC224" s="5">
        <f t="shared" si="38"/>
        <v>1.25</v>
      </c>
      <c r="AD224" s="5">
        <f t="shared" si="38"/>
        <v>1.23</v>
      </c>
      <c r="AE224" s="5">
        <f t="shared" si="38"/>
        <v>1.14</v>
      </c>
      <c r="AF224" s="5">
        <f t="shared" si="38"/>
        <v>1.12</v>
      </c>
      <c r="AG224" s="5">
        <f t="shared" si="38"/>
        <v>1.1</v>
      </c>
      <c r="AH224" s="5">
        <f t="shared" si="37"/>
        <v>1.04</v>
      </c>
      <c r="AI224" s="5">
        <f t="shared" si="37"/>
        <v>1</v>
      </c>
      <c r="AJ224" s="5">
        <f t="shared" si="37"/>
        <v>0.98</v>
      </c>
    </row>
    <row r="225" spans="1:36">
      <c r="A225" t="str">
        <f>"primary_archetype_"&amp;TEXT(ROUND(Table213[[#This Row],[2016]],1),"0.0")</f>
        <v>primary_archetype_8.0</v>
      </c>
      <c r="B225" s="5">
        <f t="shared" si="34"/>
        <v>8</v>
      </c>
      <c r="C225" s="5">
        <f t="shared" si="39"/>
        <v>8</v>
      </c>
      <c r="D225" s="5">
        <f t="shared" si="39"/>
        <v>8</v>
      </c>
      <c r="E225" s="5">
        <f t="shared" si="39"/>
        <v>7.86</v>
      </c>
      <c r="F225" s="5">
        <f t="shared" si="39"/>
        <v>7.53</v>
      </c>
      <c r="G225" s="5">
        <f t="shared" si="39"/>
        <v>7.58</v>
      </c>
      <c r="H225" s="5">
        <f t="shared" si="39"/>
        <v>7.43</v>
      </c>
      <c r="I225" s="5">
        <f t="shared" si="39"/>
        <v>7.15</v>
      </c>
      <c r="J225" s="5">
        <f t="shared" si="39"/>
        <v>6.99</v>
      </c>
      <c r="K225" s="5">
        <f t="shared" si="39"/>
        <v>6.83</v>
      </c>
      <c r="L225" s="5">
        <f t="shared" si="39"/>
        <v>6.58</v>
      </c>
      <c r="M225" s="5">
        <f t="shared" si="39"/>
        <v>6.55</v>
      </c>
      <c r="N225" s="5">
        <f t="shared" si="39"/>
        <v>6.34</v>
      </c>
      <c r="O225" s="5">
        <f t="shared" si="39"/>
        <v>6.12</v>
      </c>
      <c r="P225" s="5">
        <f t="shared" si="39"/>
        <v>5.87</v>
      </c>
      <c r="Q225" s="5">
        <f t="shared" si="39"/>
        <v>5.12</v>
      </c>
      <c r="R225" s="5">
        <f t="shared" si="39"/>
        <v>4.1</v>
      </c>
      <c r="S225" s="5">
        <f t="shared" si="38"/>
        <v>3.78</v>
      </c>
      <c r="T225" s="5">
        <f t="shared" si="38"/>
        <v>3.08</v>
      </c>
      <c r="U225" s="5">
        <f t="shared" si="38"/>
        <v>2.37</v>
      </c>
      <c r="V225" s="5">
        <f t="shared" si="38"/>
        <v>2.27</v>
      </c>
      <c r="W225" s="5">
        <f t="shared" si="38"/>
        <v>1.96</v>
      </c>
      <c r="X225" s="5">
        <f t="shared" si="38"/>
        <v>1.8</v>
      </c>
      <c r="Y225" s="5">
        <f t="shared" si="38"/>
        <v>1.64</v>
      </c>
      <c r="Z225" s="5">
        <f t="shared" si="38"/>
        <v>1.62</v>
      </c>
      <c r="AA225" s="5">
        <f t="shared" si="38"/>
        <v>1.51</v>
      </c>
      <c r="AB225" s="5">
        <f t="shared" si="38"/>
        <v>1.37</v>
      </c>
      <c r="AC225" s="5">
        <f t="shared" si="38"/>
        <v>1.24</v>
      </c>
      <c r="AD225" s="5">
        <f t="shared" si="38"/>
        <v>1.22</v>
      </c>
      <c r="AE225" s="5">
        <f t="shared" si="38"/>
        <v>1.14</v>
      </c>
      <c r="AF225" s="5">
        <f t="shared" si="38"/>
        <v>1.12</v>
      </c>
      <c r="AG225" s="5">
        <f t="shared" si="38"/>
        <v>1.1</v>
      </c>
      <c r="AH225" s="5">
        <f t="shared" si="37"/>
        <v>1.04</v>
      </c>
      <c r="AI225" s="5">
        <f t="shared" si="37"/>
        <v>1</v>
      </c>
      <c r="AJ225" s="5">
        <f t="shared" si="37"/>
        <v>0.98</v>
      </c>
    </row>
    <row r="226" spans="1:36">
      <c r="A226" t="str">
        <f>"primary_archetype_"&amp;TEXT(ROUND(Table213[[#This Row],[2016]],1),"0.0")</f>
        <v>primary_archetype_7.9</v>
      </c>
      <c r="B226" s="5">
        <f t="shared" si="34"/>
        <v>7.9</v>
      </c>
      <c r="C226" s="5">
        <f t="shared" si="39"/>
        <v>7.9</v>
      </c>
      <c r="D226" s="5">
        <f t="shared" si="39"/>
        <v>7.9</v>
      </c>
      <c r="E226" s="5">
        <f t="shared" si="39"/>
        <v>7.76</v>
      </c>
      <c r="F226" s="5">
        <f t="shared" si="39"/>
        <v>7.44</v>
      </c>
      <c r="G226" s="5">
        <f t="shared" si="39"/>
        <v>7.48</v>
      </c>
      <c r="H226" s="5">
        <f t="shared" si="39"/>
        <v>7.34</v>
      </c>
      <c r="I226" s="5">
        <f t="shared" si="39"/>
        <v>7.06</v>
      </c>
      <c r="J226" s="5">
        <f t="shared" si="39"/>
        <v>6.91</v>
      </c>
      <c r="K226" s="5">
        <f t="shared" si="39"/>
        <v>6.75</v>
      </c>
      <c r="L226" s="5">
        <f t="shared" si="39"/>
        <v>6.5</v>
      </c>
      <c r="M226" s="5">
        <f t="shared" si="39"/>
        <v>6.47</v>
      </c>
      <c r="N226" s="5">
        <f t="shared" si="39"/>
        <v>6.26</v>
      </c>
      <c r="O226" s="5">
        <f t="shared" si="39"/>
        <v>6.05</v>
      </c>
      <c r="P226" s="5">
        <f t="shared" si="39"/>
        <v>5.8</v>
      </c>
      <c r="Q226" s="5">
        <f t="shared" si="39"/>
        <v>5.06</v>
      </c>
      <c r="R226" s="5">
        <f t="shared" si="39"/>
        <v>4.06</v>
      </c>
      <c r="S226" s="5">
        <f t="shared" si="38"/>
        <v>3.74</v>
      </c>
      <c r="T226" s="5">
        <f t="shared" si="38"/>
        <v>3.05</v>
      </c>
      <c r="U226" s="5">
        <f t="shared" si="38"/>
        <v>2.35</v>
      </c>
      <c r="V226" s="5">
        <f t="shared" si="38"/>
        <v>2.25</v>
      </c>
      <c r="W226" s="5">
        <f t="shared" si="38"/>
        <v>1.95</v>
      </c>
      <c r="X226" s="5">
        <f t="shared" si="38"/>
        <v>1.79</v>
      </c>
      <c r="Y226" s="5">
        <f t="shared" si="38"/>
        <v>1.63</v>
      </c>
      <c r="Z226" s="5">
        <f t="shared" si="38"/>
        <v>1.61</v>
      </c>
      <c r="AA226" s="5">
        <f t="shared" si="38"/>
        <v>1.51</v>
      </c>
      <c r="AB226" s="5">
        <f t="shared" si="38"/>
        <v>1.36</v>
      </c>
      <c r="AC226" s="5">
        <f t="shared" si="38"/>
        <v>1.24</v>
      </c>
      <c r="AD226" s="5">
        <f t="shared" si="38"/>
        <v>1.22</v>
      </c>
      <c r="AE226" s="5">
        <f t="shared" si="38"/>
        <v>1.14</v>
      </c>
      <c r="AF226" s="5">
        <f t="shared" si="38"/>
        <v>1.12</v>
      </c>
      <c r="AG226" s="5">
        <f t="shared" si="38"/>
        <v>1.1</v>
      </c>
      <c r="AH226" s="5">
        <f t="shared" si="37"/>
        <v>1.04</v>
      </c>
      <c r="AI226" s="5">
        <f t="shared" si="37"/>
        <v>1</v>
      </c>
      <c r="AJ226" s="5">
        <f t="shared" si="37"/>
        <v>0.98</v>
      </c>
    </row>
    <row r="227" spans="1:36">
      <c r="A227" t="str">
        <f>"primary_archetype_"&amp;TEXT(ROUND(Table213[[#This Row],[2016]],1),"0.0")</f>
        <v>primary_archetype_7.8</v>
      </c>
      <c r="B227" s="5">
        <f t="shared" si="34"/>
        <v>7.8</v>
      </c>
      <c r="C227" s="5">
        <f t="shared" si="39"/>
        <v>7.8</v>
      </c>
      <c r="D227" s="5">
        <f t="shared" si="39"/>
        <v>7.8</v>
      </c>
      <c r="E227" s="5">
        <f t="shared" si="39"/>
        <v>7.67</v>
      </c>
      <c r="F227" s="5">
        <f t="shared" si="39"/>
        <v>7.34</v>
      </c>
      <c r="G227" s="5">
        <f t="shared" si="39"/>
        <v>7.39</v>
      </c>
      <c r="H227" s="5">
        <f t="shared" si="39"/>
        <v>7.25</v>
      </c>
      <c r="I227" s="5">
        <f t="shared" si="39"/>
        <v>6.98</v>
      </c>
      <c r="J227" s="5">
        <f t="shared" si="39"/>
        <v>6.82</v>
      </c>
      <c r="K227" s="5">
        <f t="shared" si="39"/>
        <v>6.67</v>
      </c>
      <c r="L227" s="5">
        <f t="shared" si="39"/>
        <v>6.42</v>
      </c>
      <c r="M227" s="5">
        <f t="shared" si="39"/>
        <v>6.39</v>
      </c>
      <c r="N227" s="5">
        <f t="shared" si="39"/>
        <v>6.19</v>
      </c>
      <c r="O227" s="5">
        <f t="shared" si="39"/>
        <v>5.98</v>
      </c>
      <c r="P227" s="5">
        <f t="shared" si="39"/>
        <v>5.73</v>
      </c>
      <c r="Q227" s="5">
        <f t="shared" si="39"/>
        <v>5</v>
      </c>
      <c r="R227" s="5">
        <f t="shared" si="39"/>
        <v>4.02</v>
      </c>
      <c r="S227" s="5">
        <f t="shared" si="38"/>
        <v>3.7</v>
      </c>
      <c r="T227" s="5">
        <f t="shared" si="38"/>
        <v>3.02</v>
      </c>
      <c r="U227" s="5">
        <f t="shared" si="38"/>
        <v>2.34</v>
      </c>
      <c r="V227" s="5">
        <f t="shared" si="38"/>
        <v>2.24</v>
      </c>
      <c r="W227" s="5">
        <f t="shared" si="38"/>
        <v>1.94</v>
      </c>
      <c r="X227" s="5">
        <f t="shared" si="38"/>
        <v>1.78</v>
      </c>
      <c r="Y227" s="5">
        <f t="shared" si="38"/>
        <v>1.62</v>
      </c>
      <c r="Z227" s="5">
        <f t="shared" si="38"/>
        <v>1.6</v>
      </c>
      <c r="AA227" s="5">
        <f t="shared" si="38"/>
        <v>1.5</v>
      </c>
      <c r="AB227" s="5">
        <f t="shared" si="38"/>
        <v>1.36</v>
      </c>
      <c r="AC227" s="5">
        <f t="shared" si="38"/>
        <v>1.24</v>
      </c>
      <c r="AD227" s="5">
        <f t="shared" si="38"/>
        <v>1.22</v>
      </c>
      <c r="AE227" s="5">
        <f t="shared" si="38"/>
        <v>1.14</v>
      </c>
      <c r="AF227" s="5">
        <f t="shared" si="38"/>
        <v>1.12</v>
      </c>
      <c r="AG227" s="5">
        <f t="shared" si="38"/>
        <v>1.1</v>
      </c>
      <c r="AH227" s="5">
        <f t="shared" si="37"/>
        <v>1.04</v>
      </c>
      <c r="AI227" s="5">
        <f t="shared" si="37"/>
        <v>1</v>
      </c>
      <c r="AJ227" s="5">
        <f t="shared" si="37"/>
        <v>0.98</v>
      </c>
    </row>
    <row r="228" spans="1:36">
      <c r="A228" t="str">
        <f>"primary_archetype_"&amp;TEXT(ROUND(Table213[[#This Row],[2016]],1),"0.0")</f>
        <v>primary_archetype_7.7</v>
      </c>
      <c r="B228" s="5">
        <f t="shared" si="34"/>
        <v>7.7</v>
      </c>
      <c r="C228" s="5">
        <f t="shared" si="39"/>
        <v>7.7</v>
      </c>
      <c r="D228" s="5">
        <f t="shared" si="39"/>
        <v>7.7</v>
      </c>
      <c r="E228" s="5">
        <f t="shared" si="39"/>
        <v>7.57</v>
      </c>
      <c r="F228" s="5">
        <f t="shared" si="39"/>
        <v>7.25</v>
      </c>
      <c r="G228" s="5">
        <f t="shared" si="39"/>
        <v>7.29</v>
      </c>
      <c r="H228" s="5">
        <f t="shared" si="39"/>
        <v>7.16</v>
      </c>
      <c r="I228" s="5">
        <f t="shared" si="39"/>
        <v>6.89</v>
      </c>
      <c r="J228" s="5">
        <f t="shared" si="39"/>
        <v>6.74</v>
      </c>
      <c r="K228" s="5">
        <f t="shared" si="39"/>
        <v>6.58</v>
      </c>
      <c r="L228" s="5">
        <f t="shared" si="39"/>
        <v>6.34</v>
      </c>
      <c r="M228" s="5">
        <f t="shared" si="39"/>
        <v>6.31</v>
      </c>
      <c r="N228" s="5">
        <f t="shared" si="39"/>
        <v>6.11</v>
      </c>
      <c r="O228" s="5">
        <f t="shared" si="39"/>
        <v>5.9</v>
      </c>
      <c r="P228" s="5">
        <f t="shared" si="39"/>
        <v>5.66</v>
      </c>
      <c r="Q228" s="5">
        <f t="shared" si="39"/>
        <v>4.94</v>
      </c>
      <c r="R228" s="5">
        <f t="shared" si="39"/>
        <v>3.97</v>
      </c>
      <c r="S228" s="5">
        <f t="shared" si="38"/>
        <v>3.66</v>
      </c>
      <c r="T228" s="5">
        <f t="shared" si="38"/>
        <v>2.99</v>
      </c>
      <c r="U228" s="5">
        <f t="shared" si="38"/>
        <v>2.32</v>
      </c>
      <c r="V228" s="5">
        <f t="shared" si="38"/>
        <v>2.22</v>
      </c>
      <c r="W228" s="5">
        <f t="shared" si="38"/>
        <v>1.92</v>
      </c>
      <c r="X228" s="5">
        <f t="shared" si="38"/>
        <v>1.77</v>
      </c>
      <c r="Y228" s="5">
        <f t="shared" si="38"/>
        <v>1.62</v>
      </c>
      <c r="Z228" s="5">
        <f t="shared" si="38"/>
        <v>1.59</v>
      </c>
      <c r="AA228" s="5">
        <f t="shared" si="38"/>
        <v>1.49</v>
      </c>
      <c r="AB228" s="5">
        <f t="shared" si="38"/>
        <v>1.35</v>
      </c>
      <c r="AC228" s="5">
        <f t="shared" si="38"/>
        <v>1.23</v>
      </c>
      <c r="AD228" s="5">
        <f t="shared" si="38"/>
        <v>1.22</v>
      </c>
      <c r="AE228" s="5">
        <f t="shared" si="38"/>
        <v>1.14</v>
      </c>
      <c r="AF228" s="5">
        <f t="shared" si="38"/>
        <v>1.11</v>
      </c>
      <c r="AG228" s="5">
        <f t="shared" si="38"/>
        <v>1.1</v>
      </c>
      <c r="AH228" s="5">
        <f t="shared" si="37"/>
        <v>1.04</v>
      </c>
      <c r="AI228" s="5">
        <f t="shared" si="37"/>
        <v>1</v>
      </c>
      <c r="AJ228" s="5">
        <f t="shared" si="37"/>
        <v>0.99</v>
      </c>
    </row>
    <row r="229" spans="1:36">
      <c r="A229" t="str">
        <f>"primary_archetype_"&amp;TEXT(ROUND(Table213[[#This Row],[2016]],1),"0.0")</f>
        <v>primary_archetype_7.6</v>
      </c>
      <c r="B229" s="5">
        <f t="shared" si="34"/>
        <v>7.6</v>
      </c>
      <c r="C229" s="5">
        <f t="shared" si="39"/>
        <v>7.6</v>
      </c>
      <c r="D229" s="5">
        <f t="shared" si="39"/>
        <v>7.6</v>
      </c>
      <c r="E229" s="5">
        <f t="shared" si="39"/>
        <v>7.47</v>
      </c>
      <c r="F229" s="5">
        <f t="shared" si="39"/>
        <v>7.16</v>
      </c>
      <c r="G229" s="5">
        <f t="shared" si="39"/>
        <v>7.2</v>
      </c>
      <c r="H229" s="5">
        <f t="shared" si="39"/>
        <v>7.06</v>
      </c>
      <c r="I229" s="5">
        <f t="shared" si="39"/>
        <v>6.8</v>
      </c>
      <c r="J229" s="5">
        <f t="shared" si="39"/>
        <v>6.65</v>
      </c>
      <c r="K229" s="5">
        <f t="shared" si="39"/>
        <v>6.5</v>
      </c>
      <c r="L229" s="5">
        <f t="shared" si="39"/>
        <v>6.26</v>
      </c>
      <c r="M229" s="5">
        <f t="shared" si="39"/>
        <v>6.23</v>
      </c>
      <c r="N229" s="5">
        <f t="shared" si="39"/>
        <v>6.03</v>
      </c>
      <c r="O229" s="5">
        <f t="shared" si="39"/>
        <v>5.83</v>
      </c>
      <c r="P229" s="5">
        <f t="shared" si="39"/>
        <v>5.59</v>
      </c>
      <c r="Q229" s="5">
        <f t="shared" si="39"/>
        <v>4.88</v>
      </c>
      <c r="R229" s="5">
        <f t="shared" si="39"/>
        <v>3.93</v>
      </c>
      <c r="S229" s="5">
        <f t="shared" si="38"/>
        <v>3.62</v>
      </c>
      <c r="T229" s="5">
        <f t="shared" si="38"/>
        <v>2.96</v>
      </c>
      <c r="U229" s="5">
        <f t="shared" si="38"/>
        <v>2.3</v>
      </c>
      <c r="V229" s="5">
        <f t="shared" si="38"/>
        <v>2.2</v>
      </c>
      <c r="W229" s="5">
        <f t="shared" si="38"/>
        <v>1.91</v>
      </c>
      <c r="X229" s="5">
        <f t="shared" si="38"/>
        <v>1.76</v>
      </c>
      <c r="Y229" s="5">
        <f t="shared" si="38"/>
        <v>1.61</v>
      </c>
      <c r="Z229" s="5">
        <f t="shared" si="38"/>
        <v>1.58</v>
      </c>
      <c r="AA229" s="5">
        <f t="shared" si="38"/>
        <v>1.49</v>
      </c>
      <c r="AB229" s="5">
        <f t="shared" si="38"/>
        <v>1.35</v>
      </c>
      <c r="AC229" s="5">
        <f t="shared" si="38"/>
        <v>1.23</v>
      </c>
      <c r="AD229" s="5">
        <f t="shared" si="38"/>
        <v>1.21</v>
      </c>
      <c r="AE229" s="5">
        <f t="shared" si="38"/>
        <v>1.14</v>
      </c>
      <c r="AF229" s="5">
        <f t="shared" si="38"/>
        <v>1.11</v>
      </c>
      <c r="AG229" s="5">
        <f t="shared" si="38"/>
        <v>1.1</v>
      </c>
      <c r="AH229" s="5">
        <f t="shared" si="37"/>
        <v>1.04</v>
      </c>
      <c r="AI229" s="5">
        <f t="shared" si="37"/>
        <v>1</v>
      </c>
      <c r="AJ229" s="5">
        <f t="shared" si="37"/>
        <v>0.99</v>
      </c>
    </row>
    <row r="230" spans="1:36">
      <c r="A230" t="str">
        <f>"primary_archetype_"&amp;TEXT(ROUND(Table213[[#This Row],[2016]],1),"0.0")</f>
        <v>primary_archetype_7.5</v>
      </c>
      <c r="B230" s="5">
        <f t="shared" si="34"/>
        <v>7.5</v>
      </c>
      <c r="C230" s="5">
        <f t="shared" si="39"/>
        <v>7.5</v>
      </c>
      <c r="D230" s="5">
        <f t="shared" si="39"/>
        <v>7.5</v>
      </c>
      <c r="E230" s="5">
        <f t="shared" si="39"/>
        <v>7.37</v>
      </c>
      <c r="F230" s="5">
        <f t="shared" si="39"/>
        <v>7.06</v>
      </c>
      <c r="G230" s="5">
        <f t="shared" si="39"/>
        <v>7.11</v>
      </c>
      <c r="H230" s="5">
        <f t="shared" si="39"/>
        <v>6.97</v>
      </c>
      <c r="I230" s="5">
        <f t="shared" si="39"/>
        <v>6.71</v>
      </c>
      <c r="J230" s="5">
        <f t="shared" si="39"/>
        <v>6.57</v>
      </c>
      <c r="K230" s="5">
        <f t="shared" si="39"/>
        <v>6.42</v>
      </c>
      <c r="L230" s="5">
        <f t="shared" si="39"/>
        <v>6.18</v>
      </c>
      <c r="M230" s="5">
        <f t="shared" si="39"/>
        <v>6.15</v>
      </c>
      <c r="N230" s="5">
        <f t="shared" si="39"/>
        <v>5.96</v>
      </c>
      <c r="O230" s="5">
        <f t="shared" si="39"/>
        <v>5.76</v>
      </c>
      <c r="P230" s="5">
        <f t="shared" si="39"/>
        <v>5.52</v>
      </c>
      <c r="Q230" s="5">
        <f t="shared" si="39"/>
        <v>4.82</v>
      </c>
      <c r="R230" s="5">
        <f t="shared" si="39"/>
        <v>3.88</v>
      </c>
      <c r="S230" s="5">
        <f t="shared" si="38"/>
        <v>3.58</v>
      </c>
      <c r="T230" s="5">
        <f t="shared" si="38"/>
        <v>2.93</v>
      </c>
      <c r="U230" s="5">
        <f t="shared" si="38"/>
        <v>2.28</v>
      </c>
      <c r="V230" s="5">
        <f t="shared" si="38"/>
        <v>2.18</v>
      </c>
      <c r="W230" s="5">
        <f t="shared" si="38"/>
        <v>1.9</v>
      </c>
      <c r="X230" s="5">
        <f t="shared" si="38"/>
        <v>1.75</v>
      </c>
      <c r="Y230" s="5">
        <f t="shared" si="38"/>
        <v>1.6</v>
      </c>
      <c r="Z230" s="5">
        <f t="shared" si="38"/>
        <v>1.57</v>
      </c>
      <c r="AA230" s="5">
        <f t="shared" si="38"/>
        <v>1.48</v>
      </c>
      <c r="AB230" s="5">
        <f t="shared" si="38"/>
        <v>1.34</v>
      </c>
      <c r="AC230" s="5">
        <f t="shared" si="38"/>
        <v>1.23</v>
      </c>
      <c r="AD230" s="5">
        <f t="shared" si="38"/>
        <v>1.21</v>
      </c>
      <c r="AE230" s="5">
        <f t="shared" si="38"/>
        <v>1.13</v>
      </c>
      <c r="AF230" s="5">
        <f t="shared" si="38"/>
        <v>1.11</v>
      </c>
      <c r="AG230" s="5">
        <f t="shared" si="38"/>
        <v>1.1</v>
      </c>
      <c r="AH230" s="5">
        <f t="shared" si="37"/>
        <v>1.04</v>
      </c>
      <c r="AI230" s="5">
        <f t="shared" si="37"/>
        <v>1</v>
      </c>
      <c r="AJ230" s="5">
        <f t="shared" si="37"/>
        <v>0.99</v>
      </c>
    </row>
    <row r="231" spans="1:36">
      <c r="A231" t="str">
        <f>"primary_archetype_"&amp;TEXT(ROUND(Table213[[#This Row],[2016]],1),"0.0")</f>
        <v>primary_archetype_7.4</v>
      </c>
      <c r="B231" s="5">
        <f t="shared" si="34"/>
        <v>7.4</v>
      </c>
      <c r="C231" s="5">
        <f t="shared" si="39"/>
        <v>7.4</v>
      </c>
      <c r="D231" s="5">
        <f t="shared" si="39"/>
        <v>7.4</v>
      </c>
      <c r="E231" s="5">
        <f t="shared" si="39"/>
        <v>7.27</v>
      </c>
      <c r="F231" s="5">
        <f t="shared" si="39"/>
        <v>6.97</v>
      </c>
      <c r="G231" s="5">
        <f t="shared" si="39"/>
        <v>7.01</v>
      </c>
      <c r="H231" s="5">
        <f t="shared" si="39"/>
        <v>6.88</v>
      </c>
      <c r="I231" s="5">
        <f t="shared" si="39"/>
        <v>6.62</v>
      </c>
      <c r="J231" s="5">
        <f t="shared" si="39"/>
        <v>6.48</v>
      </c>
      <c r="K231" s="5">
        <f t="shared" si="39"/>
        <v>6.33</v>
      </c>
      <c r="L231" s="5">
        <f t="shared" si="39"/>
        <v>6.1</v>
      </c>
      <c r="M231" s="5">
        <f t="shared" si="39"/>
        <v>6.07</v>
      </c>
      <c r="N231" s="5">
        <f t="shared" si="39"/>
        <v>5.88</v>
      </c>
      <c r="O231" s="5">
        <f t="shared" si="39"/>
        <v>5.68</v>
      </c>
      <c r="P231" s="5">
        <f t="shared" si="39"/>
        <v>5.45</v>
      </c>
      <c r="Q231" s="5">
        <f t="shared" si="39"/>
        <v>4.76</v>
      </c>
      <c r="R231" s="5">
        <f t="shared" si="39"/>
        <v>3.84</v>
      </c>
      <c r="S231" s="5">
        <f t="shared" si="38"/>
        <v>3.55</v>
      </c>
      <c r="T231" s="5">
        <f t="shared" si="38"/>
        <v>2.9</v>
      </c>
      <c r="U231" s="5">
        <f t="shared" si="38"/>
        <v>2.26</v>
      </c>
      <c r="V231" s="5">
        <f t="shared" si="38"/>
        <v>2.16</v>
      </c>
      <c r="W231" s="5">
        <f t="shared" si="38"/>
        <v>1.88</v>
      </c>
      <c r="X231" s="5">
        <f t="shared" si="38"/>
        <v>1.74</v>
      </c>
      <c r="Y231" s="5">
        <f t="shared" si="38"/>
        <v>1.59</v>
      </c>
      <c r="Z231" s="5">
        <f t="shared" si="38"/>
        <v>1.57</v>
      </c>
      <c r="AA231" s="5">
        <f t="shared" si="38"/>
        <v>1.47</v>
      </c>
      <c r="AB231" s="5">
        <f t="shared" si="38"/>
        <v>1.34</v>
      </c>
      <c r="AC231" s="5">
        <f t="shared" si="38"/>
        <v>1.23</v>
      </c>
      <c r="AD231" s="5">
        <f t="shared" si="38"/>
        <v>1.21</v>
      </c>
      <c r="AE231" s="5">
        <f t="shared" si="38"/>
        <v>1.13</v>
      </c>
      <c r="AF231" s="5">
        <f t="shared" si="38"/>
        <v>1.11</v>
      </c>
      <c r="AG231" s="5">
        <f t="shared" si="38"/>
        <v>1.1</v>
      </c>
      <c r="AH231" s="5">
        <f t="shared" si="37"/>
        <v>1.04</v>
      </c>
      <c r="AI231" s="5">
        <f t="shared" si="37"/>
        <v>1</v>
      </c>
      <c r="AJ231" s="5">
        <f t="shared" si="37"/>
        <v>0.99</v>
      </c>
    </row>
    <row r="232" spans="1:36">
      <c r="A232" t="str">
        <f>"primary_archetype_"&amp;TEXT(ROUND(Table213[[#This Row],[2016]],1),"0.0")</f>
        <v>primary_archetype_7.3</v>
      </c>
      <c r="B232" s="5">
        <f t="shared" si="34"/>
        <v>7.3</v>
      </c>
      <c r="C232" s="5">
        <f t="shared" si="39"/>
        <v>7.3</v>
      </c>
      <c r="D232" s="5">
        <f t="shared" si="39"/>
        <v>7.3</v>
      </c>
      <c r="E232" s="5">
        <f t="shared" si="39"/>
        <v>7.18</v>
      </c>
      <c r="F232" s="5">
        <f t="shared" si="39"/>
        <v>6.88</v>
      </c>
      <c r="G232" s="5">
        <f t="shared" si="39"/>
        <v>6.92</v>
      </c>
      <c r="H232" s="5">
        <f t="shared" si="39"/>
        <v>6.79</v>
      </c>
      <c r="I232" s="5">
        <f t="shared" si="39"/>
        <v>6.54</v>
      </c>
      <c r="J232" s="5">
        <f t="shared" si="39"/>
        <v>6.4</v>
      </c>
      <c r="K232" s="5">
        <f t="shared" si="39"/>
        <v>6.25</v>
      </c>
      <c r="L232" s="5">
        <f t="shared" si="39"/>
        <v>6.02</v>
      </c>
      <c r="M232" s="5">
        <f t="shared" si="39"/>
        <v>5.99</v>
      </c>
      <c r="N232" s="5">
        <f t="shared" si="39"/>
        <v>5.81</v>
      </c>
      <c r="O232" s="5">
        <f t="shared" si="39"/>
        <v>5.61</v>
      </c>
      <c r="P232" s="5">
        <f t="shared" si="39"/>
        <v>5.38</v>
      </c>
      <c r="Q232" s="5">
        <f t="shared" si="39"/>
        <v>4.71</v>
      </c>
      <c r="R232" s="5">
        <f t="shared" si="39"/>
        <v>3.8</v>
      </c>
      <c r="S232" s="5">
        <f t="shared" si="38"/>
        <v>3.51</v>
      </c>
      <c r="T232" s="5">
        <f t="shared" si="38"/>
        <v>2.88</v>
      </c>
      <c r="U232" s="5">
        <f t="shared" si="38"/>
        <v>2.24</v>
      </c>
      <c r="V232" s="5">
        <f t="shared" si="38"/>
        <v>2.15</v>
      </c>
      <c r="W232" s="5">
        <f t="shared" si="38"/>
        <v>1.87</v>
      </c>
      <c r="X232" s="5">
        <f t="shared" si="38"/>
        <v>1.73</v>
      </c>
      <c r="Y232" s="5">
        <f t="shared" si="38"/>
        <v>1.58</v>
      </c>
      <c r="Z232" s="5">
        <f t="shared" si="38"/>
        <v>1.56</v>
      </c>
      <c r="AA232" s="5">
        <f t="shared" si="38"/>
        <v>1.47</v>
      </c>
      <c r="AB232" s="5">
        <f t="shared" si="38"/>
        <v>1.33</v>
      </c>
      <c r="AC232" s="5">
        <f t="shared" si="38"/>
        <v>1.22</v>
      </c>
      <c r="AD232" s="5">
        <f t="shared" si="38"/>
        <v>1.2</v>
      </c>
      <c r="AE232" s="5">
        <f t="shared" si="38"/>
        <v>1.13</v>
      </c>
      <c r="AF232" s="5">
        <f t="shared" si="38"/>
        <v>1.11</v>
      </c>
      <c r="AG232" s="5">
        <f t="shared" si="38"/>
        <v>1.09</v>
      </c>
      <c r="AH232" s="5">
        <f t="shared" si="37"/>
        <v>1.04</v>
      </c>
      <c r="AI232" s="5">
        <f t="shared" si="37"/>
        <v>1</v>
      </c>
      <c r="AJ232" s="5">
        <f t="shared" si="37"/>
        <v>0.99</v>
      </c>
    </row>
    <row r="233" spans="1:36">
      <c r="A233" t="str">
        <f>"primary_archetype_"&amp;TEXT(ROUND(Table213[[#This Row],[2016]],1),"0.0")</f>
        <v>primary_archetype_7.2</v>
      </c>
      <c r="B233" s="5">
        <f t="shared" si="34"/>
        <v>7.2</v>
      </c>
      <c r="C233" s="5">
        <f t="shared" si="39"/>
        <v>7.2</v>
      </c>
      <c r="D233" s="5">
        <f t="shared" si="39"/>
        <v>7.2</v>
      </c>
      <c r="E233" s="5">
        <f t="shared" si="39"/>
        <v>7.08</v>
      </c>
      <c r="F233" s="5">
        <f t="shared" si="39"/>
        <v>6.78</v>
      </c>
      <c r="G233" s="5">
        <f t="shared" si="39"/>
        <v>6.82</v>
      </c>
      <c r="H233" s="5">
        <f t="shared" si="39"/>
        <v>6.7</v>
      </c>
      <c r="I233" s="5">
        <f t="shared" si="39"/>
        <v>6.45</v>
      </c>
      <c r="J233" s="5">
        <f t="shared" si="39"/>
        <v>6.31</v>
      </c>
      <c r="K233" s="5">
        <f t="shared" si="39"/>
        <v>6.17</v>
      </c>
      <c r="L233" s="5">
        <f t="shared" si="39"/>
        <v>5.94</v>
      </c>
      <c r="M233" s="5">
        <f t="shared" si="39"/>
        <v>5.91</v>
      </c>
      <c r="N233" s="5">
        <f t="shared" si="39"/>
        <v>5.73</v>
      </c>
      <c r="O233" s="5">
        <f t="shared" si="39"/>
        <v>5.54</v>
      </c>
      <c r="P233" s="5">
        <f t="shared" si="39"/>
        <v>5.31</v>
      </c>
      <c r="Q233" s="5">
        <f t="shared" si="39"/>
        <v>4.65</v>
      </c>
      <c r="R233" s="5">
        <f t="shared" si="39"/>
        <v>3.75</v>
      </c>
      <c r="S233" s="5">
        <f t="shared" si="38"/>
        <v>3.47</v>
      </c>
      <c r="T233" s="5">
        <f t="shared" si="38"/>
        <v>2.85</v>
      </c>
      <c r="U233" s="5">
        <f t="shared" si="38"/>
        <v>2.22</v>
      </c>
      <c r="V233" s="5">
        <f t="shared" si="38"/>
        <v>2.13</v>
      </c>
      <c r="W233" s="5">
        <f t="shared" si="38"/>
        <v>1.86</v>
      </c>
      <c r="X233" s="5">
        <f t="shared" si="38"/>
        <v>1.72</v>
      </c>
      <c r="Y233" s="5">
        <f t="shared" si="38"/>
        <v>1.57</v>
      </c>
      <c r="Z233" s="5">
        <f t="shared" si="38"/>
        <v>1.55</v>
      </c>
      <c r="AA233" s="5">
        <f t="shared" si="38"/>
        <v>1.46</v>
      </c>
      <c r="AB233" s="5">
        <f t="shared" si="38"/>
        <v>1.33</v>
      </c>
      <c r="AC233" s="5">
        <f t="shared" si="38"/>
        <v>1.22</v>
      </c>
      <c r="AD233" s="5">
        <f t="shared" si="38"/>
        <v>1.2</v>
      </c>
      <c r="AE233" s="5">
        <f t="shared" si="38"/>
        <v>1.13</v>
      </c>
      <c r="AF233" s="5">
        <f t="shared" si="38"/>
        <v>1.11</v>
      </c>
      <c r="AG233" s="5">
        <f t="shared" si="38"/>
        <v>1.09</v>
      </c>
      <c r="AH233" s="5">
        <f t="shared" si="37"/>
        <v>1.04</v>
      </c>
      <c r="AI233" s="5">
        <f t="shared" si="37"/>
        <v>1</v>
      </c>
      <c r="AJ233" s="5">
        <f t="shared" si="37"/>
        <v>0.99</v>
      </c>
    </row>
    <row r="234" spans="1:36">
      <c r="A234" t="str">
        <f>"primary_archetype_"&amp;TEXT(ROUND(Table213[[#This Row],[2016]],1),"0.0")</f>
        <v>primary_archetype_7.1</v>
      </c>
      <c r="B234" s="5">
        <f t="shared" si="34"/>
        <v>7.1</v>
      </c>
      <c r="C234" s="5">
        <f t="shared" si="39"/>
        <v>7.1</v>
      </c>
      <c r="D234" s="5">
        <f t="shared" si="39"/>
        <v>7.1</v>
      </c>
      <c r="E234" s="5">
        <f t="shared" si="39"/>
        <v>6.98</v>
      </c>
      <c r="F234" s="5">
        <f t="shared" si="39"/>
        <v>6.69</v>
      </c>
      <c r="G234" s="5">
        <f t="shared" si="39"/>
        <v>6.73</v>
      </c>
      <c r="H234" s="5">
        <f t="shared" si="39"/>
        <v>6.6</v>
      </c>
      <c r="I234" s="5">
        <f t="shared" si="39"/>
        <v>6.36</v>
      </c>
      <c r="J234" s="5">
        <f t="shared" si="39"/>
        <v>6.22</v>
      </c>
      <c r="K234" s="5">
        <f t="shared" si="39"/>
        <v>6.08</v>
      </c>
      <c r="L234" s="5">
        <f t="shared" si="39"/>
        <v>5.86</v>
      </c>
      <c r="M234" s="5">
        <f t="shared" si="39"/>
        <v>5.83</v>
      </c>
      <c r="N234" s="5">
        <f t="shared" si="39"/>
        <v>5.65</v>
      </c>
      <c r="O234" s="5">
        <f t="shared" si="39"/>
        <v>5.46</v>
      </c>
      <c r="P234" s="5">
        <f t="shared" si="39"/>
        <v>5.24</v>
      </c>
      <c r="Q234" s="5">
        <f t="shared" si="39"/>
        <v>4.59</v>
      </c>
      <c r="R234" s="5">
        <f t="shared" si="39"/>
        <v>3.71</v>
      </c>
      <c r="S234" s="5">
        <f t="shared" si="38"/>
        <v>3.43</v>
      </c>
      <c r="T234" s="5">
        <f t="shared" si="38"/>
        <v>2.82</v>
      </c>
      <c r="U234" s="5">
        <f t="shared" si="38"/>
        <v>2.2</v>
      </c>
      <c r="V234" s="5">
        <f t="shared" si="38"/>
        <v>2.11</v>
      </c>
      <c r="W234" s="5">
        <f t="shared" si="38"/>
        <v>1.84</v>
      </c>
      <c r="X234" s="5">
        <f t="shared" si="38"/>
        <v>1.71</v>
      </c>
      <c r="Y234" s="5">
        <f t="shared" si="38"/>
        <v>1.56</v>
      </c>
      <c r="Z234" s="5">
        <f t="shared" si="38"/>
        <v>1.54</v>
      </c>
      <c r="AA234" s="5">
        <f t="shared" si="38"/>
        <v>1.45</v>
      </c>
      <c r="AB234" s="5">
        <f t="shared" si="38"/>
        <v>1.32</v>
      </c>
      <c r="AC234" s="5">
        <f t="shared" si="38"/>
        <v>1.22</v>
      </c>
      <c r="AD234" s="5">
        <f t="shared" si="38"/>
        <v>1.2</v>
      </c>
      <c r="AE234" s="5">
        <f t="shared" si="38"/>
        <v>1.13</v>
      </c>
      <c r="AF234" s="5">
        <f t="shared" si="38"/>
        <v>1.11</v>
      </c>
      <c r="AG234" s="5">
        <f t="shared" si="38"/>
        <v>1.09</v>
      </c>
      <c r="AH234" s="5">
        <f t="shared" si="37"/>
        <v>1.04</v>
      </c>
      <c r="AI234" s="5">
        <f t="shared" si="37"/>
        <v>1.01</v>
      </c>
      <c r="AJ234" s="5">
        <f t="shared" si="37"/>
        <v>0.99</v>
      </c>
    </row>
    <row r="235" spans="1:36">
      <c r="A235" t="str">
        <f>"primary_archetype_"&amp;TEXT(ROUND(Table213[[#This Row],[2016]],1),"0.0")</f>
        <v>primary_archetype_7.0</v>
      </c>
      <c r="B235" s="5">
        <f t="shared" si="34"/>
        <v>7</v>
      </c>
      <c r="C235" s="5">
        <f t="shared" si="39"/>
        <v>7</v>
      </c>
      <c r="D235" s="5">
        <f t="shared" si="39"/>
        <v>7</v>
      </c>
      <c r="E235" s="5">
        <f t="shared" si="39"/>
        <v>6.88</v>
      </c>
      <c r="F235" s="5">
        <f t="shared" si="39"/>
        <v>6.6</v>
      </c>
      <c r="G235" s="5">
        <f t="shared" si="39"/>
        <v>6.64</v>
      </c>
      <c r="H235" s="5">
        <f t="shared" si="39"/>
        <v>6.51</v>
      </c>
      <c r="I235" s="5">
        <f t="shared" si="39"/>
        <v>6.27</v>
      </c>
      <c r="J235" s="5">
        <f t="shared" si="39"/>
        <v>6.14</v>
      </c>
      <c r="K235" s="5">
        <f t="shared" si="39"/>
        <v>6</v>
      </c>
      <c r="L235" s="5">
        <f t="shared" si="39"/>
        <v>5.78</v>
      </c>
      <c r="M235" s="5">
        <f t="shared" si="39"/>
        <v>5.76</v>
      </c>
      <c r="N235" s="5">
        <f t="shared" si="39"/>
        <v>5.58</v>
      </c>
      <c r="O235" s="5">
        <f t="shared" si="39"/>
        <v>5.39</v>
      </c>
      <c r="P235" s="5">
        <f t="shared" si="39"/>
        <v>5.17</v>
      </c>
      <c r="Q235" s="5">
        <f t="shared" si="39"/>
        <v>4.53</v>
      </c>
      <c r="R235" s="5">
        <f t="shared" si="39"/>
        <v>3.66</v>
      </c>
      <c r="S235" s="5">
        <f t="shared" si="38"/>
        <v>3.39</v>
      </c>
      <c r="T235" s="5">
        <f t="shared" si="38"/>
        <v>2.79</v>
      </c>
      <c r="U235" s="5">
        <f t="shared" si="38"/>
        <v>2.18</v>
      </c>
      <c r="V235" s="5">
        <f t="shared" si="38"/>
        <v>2.09</v>
      </c>
      <c r="W235" s="5">
        <f t="shared" si="38"/>
        <v>1.83</v>
      </c>
      <c r="X235" s="5">
        <f t="shared" si="38"/>
        <v>1.69</v>
      </c>
      <c r="Y235" s="5">
        <f t="shared" si="38"/>
        <v>1.55</v>
      </c>
      <c r="Z235" s="5">
        <f t="shared" si="38"/>
        <v>1.53</v>
      </c>
      <c r="AA235" s="5">
        <f t="shared" si="38"/>
        <v>1.45</v>
      </c>
      <c r="AB235" s="5">
        <f t="shared" si="38"/>
        <v>1.32</v>
      </c>
      <c r="AC235" s="5">
        <f t="shared" si="38"/>
        <v>1.21</v>
      </c>
      <c r="AD235" s="5">
        <f t="shared" si="38"/>
        <v>1.2</v>
      </c>
      <c r="AE235" s="5">
        <f t="shared" si="38"/>
        <v>1.13</v>
      </c>
      <c r="AF235" s="5">
        <f t="shared" si="38"/>
        <v>1.11</v>
      </c>
      <c r="AG235" s="5">
        <f t="shared" si="38"/>
        <v>1.09</v>
      </c>
      <c r="AH235" s="5">
        <f t="shared" si="37"/>
        <v>1.04</v>
      </c>
      <c r="AI235" s="5">
        <f t="shared" si="37"/>
        <v>1.01</v>
      </c>
      <c r="AJ235" s="5">
        <f t="shared" si="37"/>
        <v>0.99</v>
      </c>
    </row>
    <row r="236" spans="1:36">
      <c r="A236" t="str">
        <f>"primary_archetype_"&amp;TEXT(ROUND(Table213[[#This Row],[2016]],1),"0.0")</f>
        <v>primary_archetype_6.9</v>
      </c>
      <c r="B236" s="5">
        <f t="shared" si="34"/>
        <v>6.9</v>
      </c>
      <c r="C236" s="5">
        <f t="shared" si="39"/>
        <v>6.9</v>
      </c>
      <c r="D236" s="5">
        <f t="shared" si="39"/>
        <v>6.9</v>
      </c>
      <c r="E236" s="5">
        <f t="shared" si="39"/>
        <v>6.78</v>
      </c>
      <c r="F236" s="5">
        <f t="shared" si="39"/>
        <v>6.5</v>
      </c>
      <c r="G236" s="5">
        <f t="shared" si="39"/>
        <v>6.54</v>
      </c>
      <c r="H236" s="5">
        <f t="shared" si="39"/>
        <v>6.42</v>
      </c>
      <c r="I236" s="5">
        <f t="shared" si="39"/>
        <v>6.19</v>
      </c>
      <c r="J236" s="5">
        <f t="shared" si="39"/>
        <v>6.05</v>
      </c>
      <c r="K236" s="5">
        <f t="shared" si="39"/>
        <v>5.92</v>
      </c>
      <c r="L236" s="5">
        <f t="shared" si="39"/>
        <v>5.7</v>
      </c>
      <c r="M236" s="5">
        <f t="shared" si="39"/>
        <v>5.68</v>
      </c>
      <c r="N236" s="5">
        <f t="shared" si="39"/>
        <v>5.5</v>
      </c>
      <c r="O236" s="5">
        <f t="shared" si="39"/>
        <v>5.32</v>
      </c>
      <c r="P236" s="5">
        <f t="shared" si="39"/>
        <v>5.1</v>
      </c>
      <c r="Q236" s="5">
        <f t="shared" si="39"/>
        <v>4.47</v>
      </c>
      <c r="R236" s="5">
        <f t="shared" ref="R236:AG251" si="40">MROUND((($B236-$AH$2)*((R$2-$AH$2)/($B$2-$AH$2)))+$AH$2,0.01)</f>
        <v>3.62</v>
      </c>
      <c r="S236" s="5">
        <f t="shared" si="40"/>
        <v>3.35</v>
      </c>
      <c r="T236" s="5">
        <f t="shared" si="40"/>
        <v>2.76</v>
      </c>
      <c r="U236" s="5">
        <f t="shared" si="40"/>
        <v>2.16</v>
      </c>
      <c r="V236" s="5">
        <f t="shared" si="40"/>
        <v>2.08</v>
      </c>
      <c r="W236" s="5">
        <f t="shared" si="40"/>
        <v>1.82</v>
      </c>
      <c r="X236" s="5">
        <f t="shared" si="40"/>
        <v>1.68</v>
      </c>
      <c r="Y236" s="5">
        <f t="shared" si="40"/>
        <v>1.55</v>
      </c>
      <c r="Z236" s="5">
        <f t="shared" si="40"/>
        <v>1.52</v>
      </c>
      <c r="AA236" s="5">
        <f t="shared" si="40"/>
        <v>1.44</v>
      </c>
      <c r="AB236" s="5">
        <f t="shared" si="40"/>
        <v>1.31</v>
      </c>
      <c r="AC236" s="5">
        <f t="shared" si="40"/>
        <v>1.21</v>
      </c>
      <c r="AD236" s="5">
        <f t="shared" si="40"/>
        <v>1.19</v>
      </c>
      <c r="AE236" s="5">
        <f t="shared" si="40"/>
        <v>1.12</v>
      </c>
      <c r="AF236" s="5">
        <f t="shared" si="40"/>
        <v>1.11</v>
      </c>
      <c r="AG236" s="5">
        <f t="shared" si="40"/>
        <v>1.09</v>
      </c>
      <c r="AH236" s="5">
        <f t="shared" si="37"/>
        <v>1.04</v>
      </c>
      <c r="AI236" s="5">
        <f t="shared" si="37"/>
        <v>1.01</v>
      </c>
      <c r="AJ236" s="5">
        <f t="shared" si="37"/>
        <v>0.99</v>
      </c>
    </row>
    <row r="237" spans="1:36">
      <c r="A237" t="str">
        <f>"primary_archetype_"&amp;TEXT(ROUND(Table213[[#This Row],[2016]],1),"0.0")</f>
        <v>primary_archetype_6.8</v>
      </c>
      <c r="B237" s="5">
        <f t="shared" si="34"/>
        <v>6.8</v>
      </c>
      <c r="C237" s="5">
        <f t="shared" ref="C237:R252" si="41">MROUND((($B237-$AH$2)*((C$2-$AH$2)/($B$2-$AH$2)))+$AH$2,0.01)</f>
        <v>6.8</v>
      </c>
      <c r="D237" s="5">
        <f t="shared" si="41"/>
        <v>6.8</v>
      </c>
      <c r="E237" s="5">
        <f t="shared" si="41"/>
        <v>6.69</v>
      </c>
      <c r="F237" s="5">
        <f t="shared" si="41"/>
        <v>6.41</v>
      </c>
      <c r="G237" s="5">
        <f t="shared" si="41"/>
        <v>6.45</v>
      </c>
      <c r="H237" s="5">
        <f t="shared" si="41"/>
        <v>6.33</v>
      </c>
      <c r="I237" s="5">
        <f t="shared" si="41"/>
        <v>6.1</v>
      </c>
      <c r="J237" s="5">
        <f t="shared" si="41"/>
        <v>5.97</v>
      </c>
      <c r="K237" s="5">
        <f t="shared" si="41"/>
        <v>5.83</v>
      </c>
      <c r="L237" s="5">
        <f t="shared" si="41"/>
        <v>5.62</v>
      </c>
      <c r="M237" s="5">
        <f t="shared" si="41"/>
        <v>5.6</v>
      </c>
      <c r="N237" s="5">
        <f t="shared" si="41"/>
        <v>5.42</v>
      </c>
      <c r="O237" s="5">
        <f t="shared" si="41"/>
        <v>5.25</v>
      </c>
      <c r="P237" s="5">
        <f t="shared" si="41"/>
        <v>5.03</v>
      </c>
      <c r="Q237" s="5">
        <f t="shared" si="41"/>
        <v>4.41</v>
      </c>
      <c r="R237" s="5">
        <f t="shared" si="41"/>
        <v>3.58</v>
      </c>
      <c r="S237" s="5">
        <f t="shared" si="40"/>
        <v>3.31</v>
      </c>
      <c r="T237" s="5">
        <f t="shared" si="40"/>
        <v>2.73</v>
      </c>
      <c r="U237" s="5">
        <f t="shared" si="40"/>
        <v>2.14</v>
      </c>
      <c r="V237" s="5">
        <f t="shared" si="40"/>
        <v>2.06</v>
      </c>
      <c r="W237" s="5">
        <f t="shared" si="40"/>
        <v>1.8</v>
      </c>
      <c r="X237" s="5">
        <f t="shared" si="40"/>
        <v>1.67</v>
      </c>
      <c r="Y237" s="5">
        <f t="shared" si="40"/>
        <v>1.54</v>
      </c>
      <c r="Z237" s="5">
        <f t="shared" si="40"/>
        <v>1.52</v>
      </c>
      <c r="AA237" s="5">
        <f t="shared" si="40"/>
        <v>1.43</v>
      </c>
      <c r="AB237" s="5">
        <f t="shared" si="40"/>
        <v>1.31</v>
      </c>
      <c r="AC237" s="5">
        <f t="shared" si="40"/>
        <v>1.21</v>
      </c>
      <c r="AD237" s="5">
        <f t="shared" si="40"/>
        <v>1.19</v>
      </c>
      <c r="AE237" s="5">
        <f t="shared" si="40"/>
        <v>1.12</v>
      </c>
      <c r="AF237" s="5">
        <f t="shared" si="40"/>
        <v>1.1</v>
      </c>
      <c r="AG237" s="5">
        <f t="shared" si="40"/>
        <v>1.09</v>
      </c>
      <c r="AH237" s="5">
        <f t="shared" si="37"/>
        <v>1.04</v>
      </c>
      <c r="AI237" s="5">
        <f t="shared" si="37"/>
        <v>1.01</v>
      </c>
      <c r="AJ237" s="5">
        <f t="shared" si="37"/>
        <v>0.99</v>
      </c>
    </row>
    <row r="238" spans="1:36">
      <c r="A238" t="str">
        <f>"primary_archetype_"&amp;TEXT(ROUND(Table213[[#This Row],[2016]],1),"0.0")</f>
        <v>primary_archetype_6.7</v>
      </c>
      <c r="B238" s="5">
        <f t="shared" si="34"/>
        <v>6.7</v>
      </c>
      <c r="C238" s="5">
        <f t="shared" si="41"/>
        <v>6.7</v>
      </c>
      <c r="D238" s="5">
        <f t="shared" si="41"/>
        <v>6.7</v>
      </c>
      <c r="E238" s="5">
        <f t="shared" si="41"/>
        <v>6.59</v>
      </c>
      <c r="F238" s="5">
        <f t="shared" si="41"/>
        <v>6.32</v>
      </c>
      <c r="G238" s="5">
        <f t="shared" si="41"/>
        <v>6.35</v>
      </c>
      <c r="H238" s="5">
        <f t="shared" si="41"/>
        <v>6.24</v>
      </c>
      <c r="I238" s="5">
        <f t="shared" si="41"/>
        <v>6.01</v>
      </c>
      <c r="J238" s="5">
        <f t="shared" si="41"/>
        <v>5.88</v>
      </c>
      <c r="K238" s="5">
        <f t="shared" si="41"/>
        <v>5.75</v>
      </c>
      <c r="L238" s="5">
        <f t="shared" si="41"/>
        <v>5.54</v>
      </c>
      <c r="M238" s="5">
        <f t="shared" si="41"/>
        <v>5.52</v>
      </c>
      <c r="N238" s="5">
        <f t="shared" si="41"/>
        <v>5.35</v>
      </c>
      <c r="O238" s="5">
        <f t="shared" si="41"/>
        <v>5.17</v>
      </c>
      <c r="P238" s="5">
        <f t="shared" si="41"/>
        <v>4.96</v>
      </c>
      <c r="Q238" s="5">
        <f t="shared" si="41"/>
        <v>4.35</v>
      </c>
      <c r="R238" s="5">
        <f t="shared" si="41"/>
        <v>3.53</v>
      </c>
      <c r="S238" s="5">
        <f t="shared" si="40"/>
        <v>3.27</v>
      </c>
      <c r="T238" s="5">
        <f t="shared" si="40"/>
        <v>2.7</v>
      </c>
      <c r="U238" s="5">
        <f t="shared" si="40"/>
        <v>2.12</v>
      </c>
      <c r="V238" s="5">
        <f t="shared" si="40"/>
        <v>2.04</v>
      </c>
      <c r="W238" s="5">
        <f t="shared" si="40"/>
        <v>1.79</v>
      </c>
      <c r="X238" s="5">
        <f t="shared" si="40"/>
        <v>1.66</v>
      </c>
      <c r="Y238" s="5">
        <f t="shared" si="40"/>
        <v>1.53</v>
      </c>
      <c r="Z238" s="5">
        <f t="shared" si="40"/>
        <v>1.51</v>
      </c>
      <c r="AA238" s="5">
        <f t="shared" si="40"/>
        <v>1.42</v>
      </c>
      <c r="AB238" s="5">
        <f t="shared" si="40"/>
        <v>1.3</v>
      </c>
      <c r="AC238" s="5">
        <f t="shared" si="40"/>
        <v>1.2</v>
      </c>
      <c r="AD238" s="5">
        <f t="shared" si="40"/>
        <v>1.19</v>
      </c>
      <c r="AE238" s="5">
        <f t="shared" si="40"/>
        <v>1.12</v>
      </c>
      <c r="AF238" s="5">
        <f t="shared" si="40"/>
        <v>1.1</v>
      </c>
      <c r="AG238" s="5">
        <f t="shared" si="40"/>
        <v>1.09</v>
      </c>
      <c r="AH238" s="5">
        <f t="shared" si="37"/>
        <v>1.04</v>
      </c>
      <c r="AI238" s="5">
        <f t="shared" si="37"/>
        <v>1.01</v>
      </c>
      <c r="AJ238" s="5">
        <f t="shared" si="37"/>
        <v>0.99</v>
      </c>
    </row>
    <row r="239" spans="1:36">
      <c r="A239" t="str">
        <f>"primary_archetype_"&amp;TEXT(ROUND(Table213[[#This Row],[2016]],1),"0.0")</f>
        <v>primary_archetype_6.6</v>
      </c>
      <c r="B239" s="5">
        <f t="shared" si="34"/>
        <v>6.6</v>
      </c>
      <c r="C239" s="5">
        <f t="shared" si="41"/>
        <v>6.6</v>
      </c>
      <c r="D239" s="5">
        <f t="shared" si="41"/>
        <v>6.6</v>
      </c>
      <c r="E239" s="5">
        <f t="shared" si="41"/>
        <v>6.49</v>
      </c>
      <c r="F239" s="5">
        <f t="shared" si="41"/>
        <v>6.22</v>
      </c>
      <c r="G239" s="5">
        <f t="shared" si="41"/>
        <v>6.26</v>
      </c>
      <c r="H239" s="5">
        <f t="shared" si="41"/>
        <v>6.15</v>
      </c>
      <c r="I239" s="5">
        <f t="shared" si="41"/>
        <v>5.92</v>
      </c>
      <c r="J239" s="5">
        <f t="shared" si="41"/>
        <v>5.8</v>
      </c>
      <c r="K239" s="5">
        <f t="shared" si="41"/>
        <v>5.67</v>
      </c>
      <c r="L239" s="5">
        <f t="shared" si="41"/>
        <v>5.46</v>
      </c>
      <c r="M239" s="5">
        <f t="shared" si="41"/>
        <v>5.44</v>
      </c>
      <c r="N239" s="5">
        <f t="shared" si="41"/>
        <v>5.27</v>
      </c>
      <c r="O239" s="5">
        <f t="shared" si="41"/>
        <v>5.1</v>
      </c>
      <c r="P239" s="5">
        <f t="shared" si="41"/>
        <v>4.89</v>
      </c>
      <c r="Q239" s="5">
        <f t="shared" si="41"/>
        <v>4.3</v>
      </c>
      <c r="R239" s="5">
        <f t="shared" si="41"/>
        <v>3.49</v>
      </c>
      <c r="S239" s="5">
        <f t="shared" si="40"/>
        <v>3.23</v>
      </c>
      <c r="T239" s="5">
        <f t="shared" si="40"/>
        <v>2.67</v>
      </c>
      <c r="U239" s="5">
        <f t="shared" si="40"/>
        <v>2.11</v>
      </c>
      <c r="V239" s="5">
        <f t="shared" si="40"/>
        <v>2.02</v>
      </c>
      <c r="W239" s="5">
        <f t="shared" si="40"/>
        <v>1.78</v>
      </c>
      <c r="X239" s="5">
        <f t="shared" si="40"/>
        <v>1.65</v>
      </c>
      <c r="Y239" s="5">
        <f t="shared" si="40"/>
        <v>1.52</v>
      </c>
      <c r="Z239" s="5">
        <f t="shared" si="40"/>
        <v>1.5</v>
      </c>
      <c r="AA239" s="5">
        <f t="shared" si="40"/>
        <v>1.42</v>
      </c>
      <c r="AB239" s="5">
        <f t="shared" si="40"/>
        <v>1.3</v>
      </c>
      <c r="AC239" s="5">
        <f t="shared" si="40"/>
        <v>1.2</v>
      </c>
      <c r="AD239" s="5">
        <f t="shared" si="40"/>
        <v>1.19</v>
      </c>
      <c r="AE239" s="5">
        <f t="shared" si="40"/>
        <v>1.12</v>
      </c>
      <c r="AF239" s="5">
        <f t="shared" si="40"/>
        <v>1.1</v>
      </c>
      <c r="AG239" s="5">
        <f t="shared" si="40"/>
        <v>1.09</v>
      </c>
      <c r="AH239" s="5">
        <f t="shared" si="37"/>
        <v>1.04</v>
      </c>
      <c r="AI239" s="5">
        <f t="shared" si="37"/>
        <v>1.01</v>
      </c>
      <c r="AJ239" s="5">
        <f t="shared" si="37"/>
        <v>0.99</v>
      </c>
    </row>
    <row r="240" spans="1:36">
      <c r="A240" t="str">
        <f>"primary_archetype_"&amp;TEXT(ROUND(Table213[[#This Row],[2016]],1),"0.0")</f>
        <v>primary_archetype_6.5</v>
      </c>
      <c r="B240" s="5">
        <f t="shared" si="34"/>
        <v>6.5</v>
      </c>
      <c r="C240" s="5">
        <f t="shared" si="41"/>
        <v>6.5</v>
      </c>
      <c r="D240" s="5">
        <f t="shared" si="41"/>
        <v>6.5</v>
      </c>
      <c r="E240" s="5">
        <f t="shared" si="41"/>
        <v>6.39</v>
      </c>
      <c r="F240" s="5">
        <f t="shared" si="41"/>
        <v>6.13</v>
      </c>
      <c r="G240" s="5">
        <f t="shared" si="41"/>
        <v>6.17</v>
      </c>
      <c r="H240" s="5">
        <f t="shared" si="41"/>
        <v>6.05</v>
      </c>
      <c r="I240" s="5">
        <f t="shared" si="41"/>
        <v>5.83</v>
      </c>
      <c r="J240" s="5">
        <f t="shared" si="41"/>
        <v>5.71</v>
      </c>
      <c r="K240" s="5">
        <f t="shared" si="41"/>
        <v>5.58</v>
      </c>
      <c r="L240" s="5">
        <f t="shared" si="41"/>
        <v>5.38</v>
      </c>
      <c r="M240" s="5">
        <f t="shared" si="41"/>
        <v>5.36</v>
      </c>
      <c r="N240" s="5">
        <f t="shared" si="41"/>
        <v>5.2</v>
      </c>
      <c r="O240" s="5">
        <f t="shared" si="41"/>
        <v>5.03</v>
      </c>
      <c r="P240" s="5">
        <f t="shared" si="41"/>
        <v>4.83</v>
      </c>
      <c r="Q240" s="5">
        <f t="shared" si="41"/>
        <v>4.24</v>
      </c>
      <c r="R240" s="5">
        <f t="shared" si="41"/>
        <v>3.44</v>
      </c>
      <c r="S240" s="5">
        <f t="shared" si="40"/>
        <v>3.19</v>
      </c>
      <c r="T240" s="5">
        <f t="shared" si="40"/>
        <v>2.64</v>
      </c>
      <c r="U240" s="5">
        <f t="shared" si="40"/>
        <v>2.09</v>
      </c>
      <c r="V240" s="5">
        <f t="shared" si="40"/>
        <v>2.01</v>
      </c>
      <c r="W240" s="5">
        <f t="shared" si="40"/>
        <v>1.76</v>
      </c>
      <c r="X240" s="5">
        <f t="shared" si="40"/>
        <v>1.64</v>
      </c>
      <c r="Y240" s="5">
        <f t="shared" si="40"/>
        <v>1.51</v>
      </c>
      <c r="Z240" s="5">
        <f t="shared" si="40"/>
        <v>1.49</v>
      </c>
      <c r="AA240" s="5">
        <f t="shared" si="40"/>
        <v>1.41</v>
      </c>
      <c r="AB240" s="5">
        <f t="shared" si="40"/>
        <v>1.29</v>
      </c>
      <c r="AC240" s="5">
        <f t="shared" si="40"/>
        <v>1.2</v>
      </c>
      <c r="AD240" s="5">
        <f t="shared" si="40"/>
        <v>1.18</v>
      </c>
      <c r="AE240" s="5">
        <f t="shared" si="40"/>
        <v>1.12</v>
      </c>
      <c r="AF240" s="5">
        <f t="shared" si="40"/>
        <v>1.1</v>
      </c>
      <c r="AG240" s="5">
        <f t="shared" si="40"/>
        <v>1.09</v>
      </c>
      <c r="AH240" s="5">
        <f t="shared" si="37"/>
        <v>1.04</v>
      </c>
      <c r="AI240" s="5">
        <f t="shared" si="37"/>
        <v>1.01</v>
      </c>
      <c r="AJ240" s="5">
        <f t="shared" si="37"/>
        <v>0.99</v>
      </c>
    </row>
    <row r="241" spans="1:36">
      <c r="A241" t="str">
        <f>"primary_archetype_"&amp;TEXT(ROUND(Table213[[#This Row],[2016]],1),"0.0")</f>
        <v>primary_archetype_6.4</v>
      </c>
      <c r="B241" s="5">
        <f t="shared" si="34"/>
        <v>6.4</v>
      </c>
      <c r="C241" s="5">
        <f t="shared" si="41"/>
        <v>6.4</v>
      </c>
      <c r="D241" s="5">
        <f t="shared" si="41"/>
        <v>6.4</v>
      </c>
      <c r="E241" s="5">
        <f t="shared" si="41"/>
        <v>6.29</v>
      </c>
      <c r="F241" s="5">
        <f t="shared" si="41"/>
        <v>6.04</v>
      </c>
      <c r="G241" s="5">
        <f t="shared" si="41"/>
        <v>6.07</v>
      </c>
      <c r="H241" s="5">
        <f t="shared" si="41"/>
        <v>5.96</v>
      </c>
      <c r="I241" s="5">
        <f t="shared" si="41"/>
        <v>5.75</v>
      </c>
      <c r="J241" s="5">
        <f t="shared" si="41"/>
        <v>5.63</v>
      </c>
      <c r="K241" s="5">
        <f t="shared" si="41"/>
        <v>5.5</v>
      </c>
      <c r="L241" s="5">
        <f t="shared" si="41"/>
        <v>5.3</v>
      </c>
      <c r="M241" s="5">
        <f t="shared" si="41"/>
        <v>5.28</v>
      </c>
      <c r="N241" s="5">
        <f t="shared" si="41"/>
        <v>5.12</v>
      </c>
      <c r="O241" s="5">
        <f t="shared" si="41"/>
        <v>4.95</v>
      </c>
      <c r="P241" s="5">
        <f t="shared" si="41"/>
        <v>4.76</v>
      </c>
      <c r="Q241" s="5">
        <f t="shared" si="41"/>
        <v>4.18</v>
      </c>
      <c r="R241" s="5">
        <f t="shared" si="41"/>
        <v>3.4</v>
      </c>
      <c r="S241" s="5">
        <f t="shared" si="40"/>
        <v>3.15</v>
      </c>
      <c r="T241" s="5">
        <f t="shared" si="40"/>
        <v>2.61</v>
      </c>
      <c r="U241" s="5">
        <f t="shared" si="40"/>
        <v>2.07</v>
      </c>
      <c r="V241" s="5">
        <f t="shared" si="40"/>
        <v>1.99</v>
      </c>
      <c r="W241" s="5">
        <f t="shared" si="40"/>
        <v>1.75</v>
      </c>
      <c r="X241" s="5">
        <f t="shared" si="40"/>
        <v>1.63</v>
      </c>
      <c r="Y241" s="5">
        <f t="shared" si="40"/>
        <v>1.5</v>
      </c>
      <c r="Z241" s="5">
        <f t="shared" si="40"/>
        <v>1.48</v>
      </c>
      <c r="AA241" s="5">
        <f t="shared" si="40"/>
        <v>1.4</v>
      </c>
      <c r="AB241" s="5">
        <f t="shared" si="40"/>
        <v>1.29</v>
      </c>
      <c r="AC241" s="5">
        <f t="shared" si="40"/>
        <v>1.2</v>
      </c>
      <c r="AD241" s="5">
        <f t="shared" si="40"/>
        <v>1.18</v>
      </c>
      <c r="AE241" s="5">
        <f t="shared" si="40"/>
        <v>1.12</v>
      </c>
      <c r="AF241" s="5">
        <f t="shared" si="40"/>
        <v>1.1</v>
      </c>
      <c r="AG241" s="5">
        <f t="shared" si="40"/>
        <v>1.09</v>
      </c>
      <c r="AH241" s="5">
        <f t="shared" si="37"/>
        <v>1.04</v>
      </c>
      <c r="AI241" s="5">
        <f t="shared" si="37"/>
        <v>1.01</v>
      </c>
      <c r="AJ241" s="5">
        <f t="shared" si="37"/>
        <v>1</v>
      </c>
    </row>
    <row r="242" spans="1:36">
      <c r="A242" t="str">
        <f>"primary_archetype_"&amp;TEXT(ROUND(Table213[[#This Row],[2016]],1),"0.0")</f>
        <v>primary_archetype_6.3</v>
      </c>
      <c r="B242" s="5">
        <f t="shared" si="34"/>
        <v>6.3</v>
      </c>
      <c r="C242" s="5">
        <f t="shared" si="41"/>
        <v>6.3</v>
      </c>
      <c r="D242" s="5">
        <f t="shared" si="41"/>
        <v>6.3</v>
      </c>
      <c r="E242" s="5">
        <f t="shared" si="41"/>
        <v>6.2</v>
      </c>
      <c r="F242" s="5">
        <f t="shared" si="41"/>
        <v>5.94</v>
      </c>
      <c r="G242" s="5">
        <f t="shared" si="41"/>
        <v>5.98</v>
      </c>
      <c r="H242" s="5">
        <f t="shared" si="41"/>
        <v>5.87</v>
      </c>
      <c r="I242" s="5">
        <f t="shared" si="41"/>
        <v>5.66</v>
      </c>
      <c r="J242" s="5">
        <f t="shared" si="41"/>
        <v>5.54</v>
      </c>
      <c r="K242" s="5">
        <f t="shared" si="41"/>
        <v>5.42</v>
      </c>
      <c r="L242" s="5">
        <f t="shared" si="41"/>
        <v>5.23</v>
      </c>
      <c r="M242" s="5">
        <f t="shared" si="41"/>
        <v>5.2</v>
      </c>
      <c r="N242" s="5">
        <f t="shared" si="41"/>
        <v>5.04</v>
      </c>
      <c r="O242" s="5">
        <f t="shared" si="41"/>
        <v>4.88</v>
      </c>
      <c r="P242" s="5">
        <f t="shared" si="41"/>
        <v>4.69</v>
      </c>
      <c r="Q242" s="5">
        <f t="shared" si="41"/>
        <v>4.12</v>
      </c>
      <c r="R242" s="5">
        <f t="shared" si="41"/>
        <v>3.36</v>
      </c>
      <c r="S242" s="5">
        <f t="shared" si="40"/>
        <v>3.11</v>
      </c>
      <c r="T242" s="5">
        <f t="shared" si="40"/>
        <v>2.58</v>
      </c>
      <c r="U242" s="5">
        <f t="shared" si="40"/>
        <v>2.05</v>
      </c>
      <c r="V242" s="5">
        <f t="shared" si="40"/>
        <v>1.97</v>
      </c>
      <c r="W242" s="5">
        <f t="shared" si="40"/>
        <v>1.74</v>
      </c>
      <c r="X242" s="5">
        <f t="shared" si="40"/>
        <v>1.62</v>
      </c>
      <c r="Y242" s="5">
        <f t="shared" si="40"/>
        <v>1.49</v>
      </c>
      <c r="Z242" s="5">
        <f t="shared" si="40"/>
        <v>1.47</v>
      </c>
      <c r="AA242" s="5">
        <f t="shared" si="40"/>
        <v>1.4</v>
      </c>
      <c r="AB242" s="5">
        <f t="shared" si="40"/>
        <v>1.29</v>
      </c>
      <c r="AC242" s="5">
        <f t="shared" si="40"/>
        <v>1.19</v>
      </c>
      <c r="AD242" s="5">
        <f t="shared" si="40"/>
        <v>1.18</v>
      </c>
      <c r="AE242" s="5">
        <f t="shared" si="40"/>
        <v>1.12</v>
      </c>
      <c r="AF242" s="5">
        <f t="shared" si="40"/>
        <v>1.1</v>
      </c>
      <c r="AG242" s="5">
        <f t="shared" si="40"/>
        <v>1.09</v>
      </c>
      <c r="AH242" s="5">
        <f t="shared" si="37"/>
        <v>1.04</v>
      </c>
      <c r="AI242" s="5">
        <f t="shared" si="37"/>
        <v>1.01</v>
      </c>
      <c r="AJ242" s="5">
        <f t="shared" si="37"/>
        <v>1</v>
      </c>
    </row>
    <row r="243" spans="1:36">
      <c r="A243" t="str">
        <f>"primary_archetype_"&amp;TEXT(ROUND(Table213[[#This Row],[2016]],1),"0.0")</f>
        <v>primary_archetype_6.2</v>
      </c>
      <c r="B243" s="5">
        <f t="shared" si="34"/>
        <v>6.2</v>
      </c>
      <c r="C243" s="5">
        <f t="shared" si="41"/>
        <v>6.2</v>
      </c>
      <c r="D243" s="5">
        <f t="shared" si="41"/>
        <v>6.2</v>
      </c>
      <c r="E243" s="5">
        <f t="shared" si="41"/>
        <v>6.1</v>
      </c>
      <c r="F243" s="5">
        <f t="shared" si="41"/>
        <v>5.85</v>
      </c>
      <c r="G243" s="5">
        <f t="shared" si="41"/>
        <v>5.89</v>
      </c>
      <c r="H243" s="5">
        <f t="shared" si="41"/>
        <v>5.78</v>
      </c>
      <c r="I243" s="5">
        <f t="shared" si="41"/>
        <v>5.57</v>
      </c>
      <c r="J243" s="5">
        <f t="shared" si="41"/>
        <v>5.45</v>
      </c>
      <c r="K243" s="5">
        <f t="shared" si="41"/>
        <v>5.33</v>
      </c>
      <c r="L243" s="5">
        <f t="shared" si="41"/>
        <v>5.15</v>
      </c>
      <c r="M243" s="5">
        <f t="shared" si="41"/>
        <v>5.12</v>
      </c>
      <c r="N243" s="5">
        <f t="shared" si="41"/>
        <v>4.97</v>
      </c>
      <c r="O243" s="5">
        <f t="shared" si="41"/>
        <v>4.81</v>
      </c>
      <c r="P243" s="5">
        <f t="shared" si="41"/>
        <v>4.62</v>
      </c>
      <c r="Q243" s="5">
        <f t="shared" si="41"/>
        <v>4.06</v>
      </c>
      <c r="R243" s="5">
        <f t="shared" si="41"/>
        <v>3.31</v>
      </c>
      <c r="S243" s="5">
        <f t="shared" si="40"/>
        <v>3.07</v>
      </c>
      <c r="T243" s="5">
        <f t="shared" si="40"/>
        <v>2.55</v>
      </c>
      <c r="U243" s="5">
        <f t="shared" si="40"/>
        <v>2.03</v>
      </c>
      <c r="V243" s="5">
        <f t="shared" si="40"/>
        <v>1.95</v>
      </c>
      <c r="W243" s="5">
        <f t="shared" si="40"/>
        <v>1.72</v>
      </c>
      <c r="X243" s="5">
        <f t="shared" si="40"/>
        <v>1.61</v>
      </c>
      <c r="Y243" s="5">
        <f t="shared" si="40"/>
        <v>1.49</v>
      </c>
      <c r="Z243" s="5">
        <f t="shared" si="40"/>
        <v>1.47</v>
      </c>
      <c r="AA243" s="5">
        <f t="shared" si="40"/>
        <v>1.39</v>
      </c>
      <c r="AB243" s="5">
        <f t="shared" si="40"/>
        <v>1.28</v>
      </c>
      <c r="AC243" s="5">
        <f t="shared" si="40"/>
        <v>1.19</v>
      </c>
      <c r="AD243" s="5">
        <f t="shared" si="40"/>
        <v>1.18</v>
      </c>
      <c r="AE243" s="5">
        <f t="shared" si="40"/>
        <v>1.11</v>
      </c>
      <c r="AF243" s="5">
        <f t="shared" si="40"/>
        <v>1.1</v>
      </c>
      <c r="AG243" s="5">
        <f t="shared" si="40"/>
        <v>1.08</v>
      </c>
      <c r="AH243" s="5">
        <f t="shared" si="37"/>
        <v>1.04</v>
      </c>
      <c r="AI243" s="5">
        <f t="shared" si="37"/>
        <v>1.01</v>
      </c>
      <c r="AJ243" s="5">
        <f t="shared" si="37"/>
        <v>1</v>
      </c>
    </row>
    <row r="244" spans="1:36">
      <c r="A244" t="str">
        <f>"primary_archetype_"&amp;TEXT(ROUND(Table213[[#This Row],[2016]],1),"0.0")</f>
        <v>primary_archetype_6.1</v>
      </c>
      <c r="B244" s="5">
        <f t="shared" si="34"/>
        <v>6.1</v>
      </c>
      <c r="C244" s="5">
        <f t="shared" si="41"/>
        <v>6.1</v>
      </c>
      <c r="D244" s="5">
        <f t="shared" si="41"/>
        <v>6.1</v>
      </c>
      <c r="E244" s="5">
        <f t="shared" si="41"/>
        <v>6</v>
      </c>
      <c r="F244" s="5">
        <f t="shared" si="41"/>
        <v>5.76</v>
      </c>
      <c r="G244" s="5">
        <f t="shared" si="41"/>
        <v>5.79</v>
      </c>
      <c r="H244" s="5">
        <f t="shared" si="41"/>
        <v>5.69</v>
      </c>
      <c r="I244" s="5">
        <f t="shared" si="41"/>
        <v>5.48</v>
      </c>
      <c r="J244" s="5">
        <f t="shared" si="41"/>
        <v>5.37</v>
      </c>
      <c r="K244" s="5">
        <f t="shared" si="41"/>
        <v>5.25</v>
      </c>
      <c r="L244" s="5">
        <f t="shared" si="41"/>
        <v>5.07</v>
      </c>
      <c r="M244" s="5">
        <f t="shared" si="41"/>
        <v>5.04</v>
      </c>
      <c r="N244" s="5">
        <f t="shared" si="41"/>
        <v>4.89</v>
      </c>
      <c r="O244" s="5">
        <f t="shared" si="41"/>
        <v>4.73</v>
      </c>
      <c r="P244" s="5">
        <f t="shared" si="41"/>
        <v>4.55</v>
      </c>
      <c r="Q244" s="5">
        <f t="shared" si="41"/>
        <v>4</v>
      </c>
      <c r="R244" s="5">
        <f t="shared" si="41"/>
        <v>3.27</v>
      </c>
      <c r="S244" s="5">
        <f t="shared" si="40"/>
        <v>3.03</v>
      </c>
      <c r="T244" s="5">
        <f t="shared" si="40"/>
        <v>2.52</v>
      </c>
      <c r="U244" s="5">
        <f t="shared" si="40"/>
        <v>2.01</v>
      </c>
      <c r="V244" s="5">
        <f t="shared" si="40"/>
        <v>1.93</v>
      </c>
      <c r="W244" s="5">
        <f t="shared" si="40"/>
        <v>1.71</v>
      </c>
      <c r="X244" s="5">
        <f t="shared" si="40"/>
        <v>1.6</v>
      </c>
      <c r="Y244" s="5">
        <f t="shared" si="40"/>
        <v>1.48</v>
      </c>
      <c r="Z244" s="5">
        <f t="shared" si="40"/>
        <v>1.46</v>
      </c>
      <c r="AA244" s="5">
        <f t="shared" si="40"/>
        <v>1.38</v>
      </c>
      <c r="AB244" s="5">
        <f t="shared" si="40"/>
        <v>1.28</v>
      </c>
      <c r="AC244" s="5">
        <f t="shared" si="40"/>
        <v>1.19</v>
      </c>
      <c r="AD244" s="5">
        <f t="shared" si="40"/>
        <v>1.17</v>
      </c>
      <c r="AE244" s="5">
        <f t="shared" si="40"/>
        <v>1.11</v>
      </c>
      <c r="AF244" s="5">
        <f t="shared" si="40"/>
        <v>1.1</v>
      </c>
      <c r="AG244" s="5">
        <f t="shared" si="40"/>
        <v>1.08</v>
      </c>
      <c r="AH244" s="5">
        <f t="shared" si="37"/>
        <v>1.04</v>
      </c>
      <c r="AI244" s="5">
        <f t="shared" si="37"/>
        <v>1.01</v>
      </c>
      <c r="AJ244" s="5">
        <f t="shared" si="37"/>
        <v>1</v>
      </c>
    </row>
    <row r="245" spans="1:36">
      <c r="A245" t="str">
        <f>"primary_archetype_"&amp;TEXT(ROUND(Table213[[#This Row],[2016]],1),"0.0")</f>
        <v>primary_archetype_6.0</v>
      </c>
      <c r="B245" s="5">
        <f t="shared" si="34"/>
        <v>6</v>
      </c>
      <c r="C245" s="5">
        <f t="shared" si="41"/>
        <v>6</v>
      </c>
      <c r="D245" s="5">
        <f t="shared" si="41"/>
        <v>6</v>
      </c>
      <c r="E245" s="5">
        <f t="shared" si="41"/>
        <v>5.9</v>
      </c>
      <c r="F245" s="5">
        <f t="shared" si="41"/>
        <v>5.66</v>
      </c>
      <c r="G245" s="5">
        <f t="shared" si="41"/>
        <v>5.7</v>
      </c>
      <c r="H245" s="5">
        <f t="shared" si="41"/>
        <v>5.59</v>
      </c>
      <c r="I245" s="5">
        <f t="shared" si="41"/>
        <v>5.4</v>
      </c>
      <c r="J245" s="5">
        <f t="shared" si="41"/>
        <v>5.28</v>
      </c>
      <c r="K245" s="5">
        <f t="shared" si="41"/>
        <v>5.17</v>
      </c>
      <c r="L245" s="5">
        <f t="shared" si="41"/>
        <v>4.99</v>
      </c>
      <c r="M245" s="5">
        <f t="shared" si="41"/>
        <v>4.96</v>
      </c>
      <c r="N245" s="5">
        <f t="shared" si="41"/>
        <v>4.82</v>
      </c>
      <c r="O245" s="5">
        <f t="shared" si="41"/>
        <v>4.66</v>
      </c>
      <c r="P245" s="5">
        <f t="shared" si="41"/>
        <v>4.48</v>
      </c>
      <c r="Q245" s="5">
        <f t="shared" si="41"/>
        <v>3.94</v>
      </c>
      <c r="R245" s="5">
        <f t="shared" si="41"/>
        <v>3.22</v>
      </c>
      <c r="S245" s="5">
        <f t="shared" si="40"/>
        <v>2.99</v>
      </c>
      <c r="T245" s="5">
        <f t="shared" si="40"/>
        <v>2.49</v>
      </c>
      <c r="U245" s="5">
        <f t="shared" si="40"/>
        <v>1.99</v>
      </c>
      <c r="V245" s="5">
        <f t="shared" si="40"/>
        <v>1.92</v>
      </c>
      <c r="W245" s="5">
        <f t="shared" si="40"/>
        <v>1.7</v>
      </c>
      <c r="X245" s="5">
        <f t="shared" si="40"/>
        <v>1.58</v>
      </c>
      <c r="Y245" s="5">
        <f t="shared" si="40"/>
        <v>1.47</v>
      </c>
      <c r="Z245" s="5">
        <f t="shared" si="40"/>
        <v>1.45</v>
      </c>
      <c r="AA245" s="5">
        <f t="shared" si="40"/>
        <v>1.38</v>
      </c>
      <c r="AB245" s="5">
        <f t="shared" si="40"/>
        <v>1.27</v>
      </c>
      <c r="AC245" s="5">
        <f t="shared" si="40"/>
        <v>1.18</v>
      </c>
      <c r="AD245" s="5">
        <f t="shared" si="40"/>
        <v>1.17</v>
      </c>
      <c r="AE245" s="5">
        <f t="shared" si="40"/>
        <v>1.11</v>
      </c>
      <c r="AF245" s="5">
        <f t="shared" si="40"/>
        <v>1.09</v>
      </c>
      <c r="AG245" s="5">
        <f t="shared" si="40"/>
        <v>1.08</v>
      </c>
      <c r="AH245" s="5">
        <f t="shared" si="37"/>
        <v>1.04</v>
      </c>
      <c r="AI245" s="5">
        <f t="shared" si="37"/>
        <v>1.01</v>
      </c>
      <c r="AJ245" s="5">
        <f t="shared" si="37"/>
        <v>1</v>
      </c>
    </row>
    <row r="246" spans="1:36">
      <c r="A246" t="str">
        <f>"primary_archetype_"&amp;TEXT(ROUND(Table213[[#This Row],[2016]],1),"0.0")</f>
        <v>primary_archetype_5.9</v>
      </c>
      <c r="B246" s="5">
        <f t="shared" si="34"/>
        <v>5.9</v>
      </c>
      <c r="C246" s="5">
        <f t="shared" si="41"/>
        <v>5.9</v>
      </c>
      <c r="D246" s="5">
        <f t="shared" si="41"/>
        <v>5.9</v>
      </c>
      <c r="E246" s="5">
        <f t="shared" si="41"/>
        <v>5.8</v>
      </c>
      <c r="F246" s="5">
        <f t="shared" si="41"/>
        <v>5.57</v>
      </c>
      <c r="G246" s="5">
        <f t="shared" si="41"/>
        <v>5.6</v>
      </c>
      <c r="H246" s="5">
        <f t="shared" si="41"/>
        <v>5.5</v>
      </c>
      <c r="I246" s="5">
        <f t="shared" si="41"/>
        <v>5.31</v>
      </c>
      <c r="J246" s="5">
        <f t="shared" si="41"/>
        <v>5.2</v>
      </c>
      <c r="K246" s="5">
        <f t="shared" si="41"/>
        <v>5.08</v>
      </c>
      <c r="L246" s="5">
        <f t="shared" si="41"/>
        <v>4.91</v>
      </c>
      <c r="M246" s="5">
        <f t="shared" si="41"/>
        <v>4.89</v>
      </c>
      <c r="N246" s="5">
        <f t="shared" si="41"/>
        <v>4.74</v>
      </c>
      <c r="O246" s="5">
        <f t="shared" si="41"/>
        <v>4.59</v>
      </c>
      <c r="P246" s="5">
        <f t="shared" si="41"/>
        <v>4.41</v>
      </c>
      <c r="Q246" s="5">
        <f t="shared" si="41"/>
        <v>3.89</v>
      </c>
      <c r="R246" s="5">
        <f t="shared" si="41"/>
        <v>3.18</v>
      </c>
      <c r="S246" s="5">
        <f t="shared" si="40"/>
        <v>2.95</v>
      </c>
      <c r="T246" s="5">
        <f t="shared" si="40"/>
        <v>2.46</v>
      </c>
      <c r="U246" s="5">
        <f t="shared" si="40"/>
        <v>1.97</v>
      </c>
      <c r="V246" s="5">
        <f t="shared" si="40"/>
        <v>1.9</v>
      </c>
      <c r="W246" s="5">
        <f t="shared" si="40"/>
        <v>1.68</v>
      </c>
      <c r="X246" s="5">
        <f t="shared" si="40"/>
        <v>1.57</v>
      </c>
      <c r="Y246" s="5">
        <f t="shared" si="40"/>
        <v>1.46</v>
      </c>
      <c r="Z246" s="5">
        <f t="shared" si="40"/>
        <v>1.44</v>
      </c>
      <c r="AA246" s="5">
        <f t="shared" si="40"/>
        <v>1.37</v>
      </c>
      <c r="AB246" s="5">
        <f t="shared" si="40"/>
        <v>1.27</v>
      </c>
      <c r="AC246" s="5">
        <f t="shared" si="40"/>
        <v>1.18</v>
      </c>
      <c r="AD246" s="5">
        <f t="shared" si="40"/>
        <v>1.17</v>
      </c>
      <c r="AE246" s="5">
        <f t="shared" si="40"/>
        <v>1.11</v>
      </c>
      <c r="AF246" s="5">
        <f t="shared" si="40"/>
        <v>1.09</v>
      </c>
      <c r="AG246" s="5">
        <f t="shared" si="40"/>
        <v>1.08</v>
      </c>
      <c r="AH246" s="5">
        <f t="shared" si="37"/>
        <v>1.04</v>
      </c>
      <c r="AI246" s="5">
        <f t="shared" si="37"/>
        <v>1.01</v>
      </c>
      <c r="AJ246" s="5">
        <f t="shared" si="37"/>
        <v>1</v>
      </c>
    </row>
    <row r="247" spans="1:36">
      <c r="A247" t="str">
        <f>"primary_archetype_"&amp;TEXT(ROUND(Table213[[#This Row],[2016]],1),"0.0")</f>
        <v>primary_archetype_5.8</v>
      </c>
      <c r="B247" s="5">
        <f t="shared" si="34"/>
        <v>5.8</v>
      </c>
      <c r="C247" s="5">
        <f t="shared" si="41"/>
        <v>5.8</v>
      </c>
      <c r="D247" s="5">
        <f t="shared" si="41"/>
        <v>5.8</v>
      </c>
      <c r="E247" s="5">
        <f t="shared" si="41"/>
        <v>5.71</v>
      </c>
      <c r="F247" s="5">
        <f t="shared" si="41"/>
        <v>5.48</v>
      </c>
      <c r="G247" s="5">
        <f t="shared" si="41"/>
        <v>5.51</v>
      </c>
      <c r="H247" s="5">
        <f t="shared" si="41"/>
        <v>5.41</v>
      </c>
      <c r="I247" s="5">
        <f t="shared" si="41"/>
        <v>5.22</v>
      </c>
      <c r="J247" s="5">
        <f t="shared" si="41"/>
        <v>5.11</v>
      </c>
      <c r="K247" s="5">
        <f t="shared" si="41"/>
        <v>5</v>
      </c>
      <c r="L247" s="5">
        <f t="shared" si="41"/>
        <v>4.83</v>
      </c>
      <c r="M247" s="5">
        <f t="shared" si="41"/>
        <v>4.81</v>
      </c>
      <c r="N247" s="5">
        <f t="shared" si="41"/>
        <v>4.66</v>
      </c>
      <c r="O247" s="5">
        <f t="shared" si="41"/>
        <v>4.52</v>
      </c>
      <c r="P247" s="5">
        <f t="shared" si="41"/>
        <v>4.34</v>
      </c>
      <c r="Q247" s="5">
        <f t="shared" si="41"/>
        <v>3.83</v>
      </c>
      <c r="R247" s="5">
        <f t="shared" si="41"/>
        <v>3.14</v>
      </c>
      <c r="S247" s="5">
        <f t="shared" si="40"/>
        <v>2.91</v>
      </c>
      <c r="T247" s="5">
        <f t="shared" si="40"/>
        <v>2.43</v>
      </c>
      <c r="U247" s="5">
        <f t="shared" si="40"/>
        <v>1.95</v>
      </c>
      <c r="V247" s="5">
        <f t="shared" si="40"/>
        <v>1.88</v>
      </c>
      <c r="W247" s="5">
        <f t="shared" si="40"/>
        <v>1.67</v>
      </c>
      <c r="X247" s="5">
        <f t="shared" si="40"/>
        <v>1.56</v>
      </c>
      <c r="Y247" s="5">
        <f t="shared" si="40"/>
        <v>1.45</v>
      </c>
      <c r="Z247" s="5">
        <f t="shared" si="40"/>
        <v>1.43</v>
      </c>
      <c r="AA247" s="5">
        <f t="shared" si="40"/>
        <v>1.36</v>
      </c>
      <c r="AB247" s="5">
        <f t="shared" si="40"/>
        <v>1.26</v>
      </c>
      <c r="AC247" s="5">
        <f t="shared" si="40"/>
        <v>1.18</v>
      </c>
      <c r="AD247" s="5">
        <f t="shared" si="40"/>
        <v>1.16</v>
      </c>
      <c r="AE247" s="5">
        <f t="shared" si="40"/>
        <v>1.11</v>
      </c>
      <c r="AF247" s="5">
        <f t="shared" si="40"/>
        <v>1.09</v>
      </c>
      <c r="AG247" s="5">
        <f t="shared" si="40"/>
        <v>1.08</v>
      </c>
      <c r="AH247" s="5">
        <f t="shared" si="37"/>
        <v>1.04</v>
      </c>
      <c r="AI247" s="5">
        <f t="shared" si="37"/>
        <v>1.01</v>
      </c>
      <c r="AJ247" s="5">
        <f t="shared" si="37"/>
        <v>1</v>
      </c>
    </row>
    <row r="248" spans="1:36">
      <c r="A248" t="str">
        <f>"primary_archetype_"&amp;TEXT(ROUND(Table213[[#This Row],[2016]],1),"0.0")</f>
        <v>primary_archetype_5.7</v>
      </c>
      <c r="B248" s="5">
        <f t="shared" si="34"/>
        <v>5.7</v>
      </c>
      <c r="C248" s="5">
        <f t="shared" si="41"/>
        <v>5.7</v>
      </c>
      <c r="D248" s="5">
        <f t="shared" si="41"/>
        <v>5.7</v>
      </c>
      <c r="E248" s="5">
        <f t="shared" si="41"/>
        <v>5.61</v>
      </c>
      <c r="F248" s="5">
        <f t="shared" si="41"/>
        <v>5.38</v>
      </c>
      <c r="G248" s="5">
        <f t="shared" si="41"/>
        <v>5.42</v>
      </c>
      <c r="H248" s="5">
        <f t="shared" si="41"/>
        <v>5.32</v>
      </c>
      <c r="I248" s="5">
        <f t="shared" si="41"/>
        <v>5.13</v>
      </c>
      <c r="J248" s="5">
        <f t="shared" si="41"/>
        <v>5.03</v>
      </c>
      <c r="K248" s="5">
        <f t="shared" si="41"/>
        <v>4.92</v>
      </c>
      <c r="L248" s="5">
        <f t="shared" si="41"/>
        <v>4.75</v>
      </c>
      <c r="M248" s="5">
        <f t="shared" si="41"/>
        <v>4.73</v>
      </c>
      <c r="N248" s="5">
        <f t="shared" si="41"/>
        <v>4.59</v>
      </c>
      <c r="O248" s="5">
        <f t="shared" si="41"/>
        <v>4.44</v>
      </c>
      <c r="P248" s="5">
        <f t="shared" si="41"/>
        <v>4.27</v>
      </c>
      <c r="Q248" s="5">
        <f t="shared" si="41"/>
        <v>3.77</v>
      </c>
      <c r="R248" s="5">
        <f t="shared" si="41"/>
        <v>3.09</v>
      </c>
      <c r="S248" s="5">
        <f t="shared" si="40"/>
        <v>2.88</v>
      </c>
      <c r="T248" s="5">
        <f t="shared" si="40"/>
        <v>2.41</v>
      </c>
      <c r="U248" s="5">
        <f t="shared" si="40"/>
        <v>1.93</v>
      </c>
      <c r="V248" s="5">
        <f t="shared" si="40"/>
        <v>1.86</v>
      </c>
      <c r="W248" s="5">
        <f t="shared" si="40"/>
        <v>1.66</v>
      </c>
      <c r="X248" s="5">
        <f t="shared" si="40"/>
        <v>1.55</v>
      </c>
      <c r="Y248" s="5">
        <f t="shared" si="40"/>
        <v>1.44</v>
      </c>
      <c r="Z248" s="5">
        <f t="shared" si="40"/>
        <v>1.42</v>
      </c>
      <c r="AA248" s="5">
        <f t="shared" si="40"/>
        <v>1.36</v>
      </c>
      <c r="AB248" s="5">
        <f t="shared" si="40"/>
        <v>1.26</v>
      </c>
      <c r="AC248" s="5">
        <f t="shared" si="40"/>
        <v>1.18</v>
      </c>
      <c r="AD248" s="5">
        <f t="shared" si="40"/>
        <v>1.16</v>
      </c>
      <c r="AE248" s="5">
        <f t="shared" si="40"/>
        <v>1.11</v>
      </c>
      <c r="AF248" s="5">
        <f t="shared" si="40"/>
        <v>1.09</v>
      </c>
      <c r="AG248" s="5">
        <f t="shared" si="40"/>
        <v>1.08</v>
      </c>
      <c r="AH248" s="5">
        <f t="shared" si="37"/>
        <v>1.04</v>
      </c>
      <c r="AI248" s="5">
        <f t="shared" si="37"/>
        <v>1.01</v>
      </c>
      <c r="AJ248" s="5">
        <f t="shared" si="37"/>
        <v>1</v>
      </c>
    </row>
    <row r="249" spans="1:36">
      <c r="A249" t="str">
        <f>"primary_archetype_"&amp;TEXT(ROUND(Table213[[#This Row],[2016]],1),"0.0")</f>
        <v>primary_archetype_5.6</v>
      </c>
      <c r="B249" s="5">
        <f t="shared" si="34"/>
        <v>5.6</v>
      </c>
      <c r="C249" s="5">
        <f t="shared" si="41"/>
        <v>5.6</v>
      </c>
      <c r="D249" s="5">
        <f t="shared" si="41"/>
        <v>5.6</v>
      </c>
      <c r="E249" s="5">
        <f t="shared" si="41"/>
        <v>5.51</v>
      </c>
      <c r="F249" s="5">
        <f t="shared" si="41"/>
        <v>5.29</v>
      </c>
      <c r="G249" s="5">
        <f t="shared" si="41"/>
        <v>5.32</v>
      </c>
      <c r="H249" s="5">
        <f t="shared" si="41"/>
        <v>5.23</v>
      </c>
      <c r="I249" s="5">
        <f t="shared" si="41"/>
        <v>5.04</v>
      </c>
      <c r="J249" s="5">
        <f t="shared" si="41"/>
        <v>4.94</v>
      </c>
      <c r="K249" s="5">
        <f t="shared" si="41"/>
        <v>4.84</v>
      </c>
      <c r="L249" s="5">
        <f t="shared" si="41"/>
        <v>4.67</v>
      </c>
      <c r="M249" s="5">
        <f t="shared" si="41"/>
        <v>4.65</v>
      </c>
      <c r="N249" s="5">
        <f t="shared" si="41"/>
        <v>4.51</v>
      </c>
      <c r="O249" s="5">
        <f t="shared" si="41"/>
        <v>4.37</v>
      </c>
      <c r="P249" s="5">
        <f t="shared" si="41"/>
        <v>4.2</v>
      </c>
      <c r="Q249" s="5">
        <f t="shared" si="41"/>
        <v>3.71</v>
      </c>
      <c r="R249" s="5">
        <f t="shared" si="41"/>
        <v>3.05</v>
      </c>
      <c r="S249" s="5">
        <f t="shared" si="40"/>
        <v>2.84</v>
      </c>
      <c r="T249" s="5">
        <f t="shared" si="40"/>
        <v>2.38</v>
      </c>
      <c r="U249" s="5">
        <f t="shared" si="40"/>
        <v>1.91</v>
      </c>
      <c r="V249" s="5">
        <f t="shared" si="40"/>
        <v>1.85</v>
      </c>
      <c r="W249" s="5">
        <f t="shared" si="40"/>
        <v>1.64</v>
      </c>
      <c r="X249" s="5">
        <f t="shared" si="40"/>
        <v>1.54</v>
      </c>
      <c r="Y249" s="5">
        <f t="shared" si="40"/>
        <v>1.43</v>
      </c>
      <c r="Z249" s="5">
        <f t="shared" si="40"/>
        <v>1.42</v>
      </c>
      <c r="AA249" s="5">
        <f t="shared" si="40"/>
        <v>1.35</v>
      </c>
      <c r="AB249" s="5">
        <f t="shared" si="40"/>
        <v>1.25</v>
      </c>
      <c r="AC249" s="5">
        <f t="shared" si="40"/>
        <v>1.17</v>
      </c>
      <c r="AD249" s="5">
        <f t="shared" si="40"/>
        <v>1.16</v>
      </c>
      <c r="AE249" s="5">
        <f t="shared" si="40"/>
        <v>1.11</v>
      </c>
      <c r="AF249" s="5">
        <f t="shared" si="40"/>
        <v>1.09</v>
      </c>
      <c r="AG249" s="5">
        <f t="shared" si="40"/>
        <v>1.08</v>
      </c>
      <c r="AH249" s="5">
        <f t="shared" si="37"/>
        <v>1.04</v>
      </c>
      <c r="AI249" s="5">
        <f t="shared" si="37"/>
        <v>1.01</v>
      </c>
      <c r="AJ249" s="5">
        <f t="shared" si="37"/>
        <v>1</v>
      </c>
    </row>
    <row r="250" spans="1:36">
      <c r="A250" t="str">
        <f>"primary_archetype_"&amp;TEXT(ROUND(Table213[[#This Row],[2016]],1),"0.0")</f>
        <v>primary_archetype_5.5</v>
      </c>
      <c r="B250" s="5">
        <f t="shared" si="34"/>
        <v>5.5</v>
      </c>
      <c r="C250" s="5">
        <f t="shared" si="41"/>
        <v>5.5</v>
      </c>
      <c r="D250" s="5">
        <f t="shared" si="41"/>
        <v>5.5</v>
      </c>
      <c r="E250" s="5">
        <f t="shared" si="41"/>
        <v>5.41</v>
      </c>
      <c r="F250" s="5">
        <f t="shared" si="41"/>
        <v>5.2</v>
      </c>
      <c r="G250" s="5">
        <f t="shared" si="41"/>
        <v>5.23</v>
      </c>
      <c r="H250" s="5">
        <f t="shared" si="41"/>
        <v>5.14</v>
      </c>
      <c r="I250" s="5">
        <f t="shared" si="41"/>
        <v>4.96</v>
      </c>
      <c r="J250" s="5">
        <f t="shared" si="41"/>
        <v>4.86</v>
      </c>
      <c r="K250" s="5">
        <f t="shared" si="41"/>
        <v>4.75</v>
      </c>
      <c r="L250" s="5">
        <f t="shared" si="41"/>
        <v>4.59</v>
      </c>
      <c r="M250" s="5">
        <f t="shared" si="41"/>
        <v>4.57</v>
      </c>
      <c r="N250" s="5">
        <f t="shared" si="41"/>
        <v>4.43</v>
      </c>
      <c r="O250" s="5">
        <f t="shared" si="41"/>
        <v>4.3</v>
      </c>
      <c r="P250" s="5">
        <f t="shared" si="41"/>
        <v>4.13</v>
      </c>
      <c r="Q250" s="5">
        <f t="shared" si="41"/>
        <v>3.65</v>
      </c>
      <c r="R250" s="5">
        <f t="shared" si="41"/>
        <v>3</v>
      </c>
      <c r="S250" s="5">
        <f t="shared" si="40"/>
        <v>2.8</v>
      </c>
      <c r="T250" s="5">
        <f t="shared" si="40"/>
        <v>2.35</v>
      </c>
      <c r="U250" s="5">
        <f t="shared" si="40"/>
        <v>1.89</v>
      </c>
      <c r="V250" s="5">
        <f t="shared" si="40"/>
        <v>1.83</v>
      </c>
      <c r="W250" s="5">
        <f t="shared" si="40"/>
        <v>1.63</v>
      </c>
      <c r="X250" s="5">
        <f t="shared" si="40"/>
        <v>1.53</v>
      </c>
      <c r="Y250" s="5">
        <f t="shared" si="40"/>
        <v>1.42</v>
      </c>
      <c r="Z250" s="5">
        <f t="shared" si="40"/>
        <v>1.41</v>
      </c>
      <c r="AA250" s="5">
        <f t="shared" si="40"/>
        <v>1.34</v>
      </c>
      <c r="AB250" s="5">
        <f t="shared" si="40"/>
        <v>1.25</v>
      </c>
      <c r="AC250" s="5">
        <f t="shared" si="40"/>
        <v>1.17</v>
      </c>
      <c r="AD250" s="5">
        <f t="shared" si="40"/>
        <v>1.16</v>
      </c>
      <c r="AE250" s="5">
        <f t="shared" si="40"/>
        <v>1.1</v>
      </c>
      <c r="AF250" s="5">
        <f t="shared" si="40"/>
        <v>1.09</v>
      </c>
      <c r="AG250" s="5">
        <f t="shared" si="40"/>
        <v>1.08</v>
      </c>
      <c r="AH250" s="5">
        <f t="shared" si="37"/>
        <v>1.04</v>
      </c>
      <c r="AI250" s="5">
        <f t="shared" si="37"/>
        <v>1.01</v>
      </c>
      <c r="AJ250" s="5">
        <f t="shared" si="37"/>
        <v>1</v>
      </c>
    </row>
    <row r="251" spans="1:36">
      <c r="A251" t="str">
        <f>"primary_archetype_"&amp;TEXT(ROUND(Table213[[#This Row],[2016]],1),"0.0")</f>
        <v>primary_archetype_5.4</v>
      </c>
      <c r="B251" s="5">
        <f t="shared" si="34"/>
        <v>5.4</v>
      </c>
      <c r="C251" s="5">
        <f t="shared" si="41"/>
        <v>5.4</v>
      </c>
      <c r="D251" s="5">
        <f t="shared" si="41"/>
        <v>5.4</v>
      </c>
      <c r="E251" s="5">
        <f t="shared" si="41"/>
        <v>5.31</v>
      </c>
      <c r="F251" s="5">
        <f t="shared" si="41"/>
        <v>5.1</v>
      </c>
      <c r="G251" s="5">
        <f t="shared" si="41"/>
        <v>5.13</v>
      </c>
      <c r="H251" s="5">
        <f t="shared" si="41"/>
        <v>5.04</v>
      </c>
      <c r="I251" s="5">
        <f t="shared" si="41"/>
        <v>4.87</v>
      </c>
      <c r="J251" s="5">
        <f t="shared" si="41"/>
        <v>4.77</v>
      </c>
      <c r="K251" s="5">
        <f t="shared" si="41"/>
        <v>4.67</v>
      </c>
      <c r="L251" s="5">
        <f t="shared" si="41"/>
        <v>4.51</v>
      </c>
      <c r="M251" s="5">
        <f t="shared" si="41"/>
        <v>4.49</v>
      </c>
      <c r="N251" s="5">
        <f t="shared" si="41"/>
        <v>4.36</v>
      </c>
      <c r="O251" s="5">
        <f t="shared" si="41"/>
        <v>4.22</v>
      </c>
      <c r="P251" s="5">
        <f t="shared" si="41"/>
        <v>4.06</v>
      </c>
      <c r="Q251" s="5">
        <f t="shared" si="41"/>
        <v>3.59</v>
      </c>
      <c r="R251" s="5">
        <f t="shared" si="41"/>
        <v>2.96</v>
      </c>
      <c r="S251" s="5">
        <f t="shared" si="40"/>
        <v>2.76</v>
      </c>
      <c r="T251" s="5">
        <f t="shared" si="40"/>
        <v>2.32</v>
      </c>
      <c r="U251" s="5">
        <f t="shared" si="40"/>
        <v>1.87</v>
      </c>
      <c r="V251" s="5">
        <f t="shared" si="40"/>
        <v>1.81</v>
      </c>
      <c r="W251" s="5">
        <f t="shared" si="40"/>
        <v>1.62</v>
      </c>
      <c r="X251" s="5">
        <f t="shared" si="40"/>
        <v>1.52</v>
      </c>
      <c r="Y251" s="5">
        <f t="shared" si="40"/>
        <v>1.42</v>
      </c>
      <c r="Z251" s="5">
        <f t="shared" si="40"/>
        <v>1.4</v>
      </c>
      <c r="AA251" s="5">
        <f t="shared" si="40"/>
        <v>1.34</v>
      </c>
      <c r="AB251" s="5">
        <f t="shared" si="40"/>
        <v>1.24</v>
      </c>
      <c r="AC251" s="5">
        <f t="shared" si="40"/>
        <v>1.17</v>
      </c>
      <c r="AD251" s="5">
        <f t="shared" si="40"/>
        <v>1.15</v>
      </c>
      <c r="AE251" s="5">
        <f t="shared" si="40"/>
        <v>1.1</v>
      </c>
      <c r="AF251" s="5">
        <f t="shared" si="40"/>
        <v>1.09</v>
      </c>
      <c r="AG251" s="5">
        <f t="shared" si="40"/>
        <v>1.08</v>
      </c>
      <c r="AH251" s="5">
        <f t="shared" si="37"/>
        <v>1.04</v>
      </c>
      <c r="AI251" s="5">
        <f t="shared" si="37"/>
        <v>1.01</v>
      </c>
      <c r="AJ251" s="5">
        <f t="shared" si="37"/>
        <v>1</v>
      </c>
    </row>
    <row r="252" spans="1:36">
      <c r="A252" t="str">
        <f>"primary_archetype_"&amp;TEXT(ROUND(Table213[[#This Row],[2016]],1),"0.0")</f>
        <v>primary_archetype_5.3</v>
      </c>
      <c r="B252" s="5">
        <f t="shared" si="34"/>
        <v>5.3</v>
      </c>
      <c r="C252" s="5">
        <f t="shared" si="41"/>
        <v>5.3</v>
      </c>
      <c r="D252" s="5">
        <f t="shared" si="41"/>
        <v>5.3</v>
      </c>
      <c r="E252" s="5">
        <f t="shared" si="41"/>
        <v>5.22</v>
      </c>
      <c r="F252" s="5">
        <f t="shared" si="41"/>
        <v>5.01</v>
      </c>
      <c r="G252" s="5">
        <f t="shared" si="41"/>
        <v>5.04</v>
      </c>
      <c r="H252" s="5">
        <f t="shared" si="41"/>
        <v>4.95</v>
      </c>
      <c r="I252" s="5">
        <f t="shared" si="41"/>
        <v>4.78</v>
      </c>
      <c r="J252" s="5">
        <f t="shared" si="41"/>
        <v>4.68</v>
      </c>
      <c r="K252" s="5">
        <f t="shared" si="41"/>
        <v>4.59</v>
      </c>
      <c r="L252" s="5">
        <f t="shared" si="41"/>
        <v>4.43</v>
      </c>
      <c r="M252" s="5">
        <f t="shared" si="41"/>
        <v>4.41</v>
      </c>
      <c r="N252" s="5">
        <f t="shared" si="41"/>
        <v>4.28</v>
      </c>
      <c r="O252" s="5">
        <f t="shared" si="41"/>
        <v>4.15</v>
      </c>
      <c r="P252" s="5">
        <f t="shared" si="41"/>
        <v>3.99</v>
      </c>
      <c r="Q252" s="5">
        <f t="shared" si="41"/>
        <v>3.53</v>
      </c>
      <c r="R252" s="5">
        <f t="shared" ref="R252:AG267" si="42">MROUND((($B252-$AH$2)*((R$2-$AH$2)/($B$2-$AH$2)))+$AH$2,0.01)</f>
        <v>2.91</v>
      </c>
      <c r="S252" s="5">
        <f t="shared" si="42"/>
        <v>2.72</v>
      </c>
      <c r="T252" s="5">
        <f t="shared" si="42"/>
        <v>2.29</v>
      </c>
      <c r="U252" s="5">
        <f t="shared" si="42"/>
        <v>1.86</v>
      </c>
      <c r="V252" s="5">
        <f t="shared" si="42"/>
        <v>1.79</v>
      </c>
      <c r="W252" s="5">
        <f t="shared" si="42"/>
        <v>1.6</v>
      </c>
      <c r="X252" s="5">
        <f t="shared" si="42"/>
        <v>1.51</v>
      </c>
      <c r="Y252" s="5">
        <f t="shared" si="42"/>
        <v>1.41</v>
      </c>
      <c r="Z252" s="5">
        <f t="shared" si="42"/>
        <v>1.39</v>
      </c>
      <c r="AA252" s="5">
        <f t="shared" si="42"/>
        <v>1.33</v>
      </c>
      <c r="AB252" s="5">
        <f t="shared" si="42"/>
        <v>1.24</v>
      </c>
      <c r="AC252" s="5">
        <f t="shared" si="42"/>
        <v>1.16</v>
      </c>
      <c r="AD252" s="5">
        <f t="shared" si="42"/>
        <v>1.15</v>
      </c>
      <c r="AE252" s="5">
        <f t="shared" si="42"/>
        <v>1.1</v>
      </c>
      <c r="AF252" s="5">
        <f t="shared" si="42"/>
        <v>1.09</v>
      </c>
      <c r="AG252" s="5">
        <f t="shared" si="42"/>
        <v>1.08</v>
      </c>
      <c r="AH252" s="5">
        <f t="shared" si="37"/>
        <v>1.04</v>
      </c>
      <c r="AI252" s="5">
        <f t="shared" si="37"/>
        <v>1.01</v>
      </c>
      <c r="AJ252" s="5">
        <f t="shared" si="37"/>
        <v>1</v>
      </c>
    </row>
    <row r="253" spans="1:36">
      <c r="A253" t="str">
        <f>"primary_archetype_"&amp;TEXT(ROUND(Table213[[#This Row],[2016]],1),"0.0")</f>
        <v>primary_archetype_5.2</v>
      </c>
      <c r="B253" s="5">
        <f t="shared" si="34"/>
        <v>5.2</v>
      </c>
      <c r="C253" s="5">
        <f t="shared" ref="C253:R268" si="43">MROUND((($B253-$AH$2)*((C$2-$AH$2)/($B$2-$AH$2)))+$AH$2,0.01)</f>
        <v>5.2</v>
      </c>
      <c r="D253" s="5">
        <f t="shared" si="43"/>
        <v>5.2</v>
      </c>
      <c r="E253" s="5">
        <f t="shared" si="43"/>
        <v>5.12</v>
      </c>
      <c r="F253" s="5">
        <f t="shared" si="43"/>
        <v>4.92</v>
      </c>
      <c r="G253" s="5">
        <f t="shared" si="43"/>
        <v>4.95</v>
      </c>
      <c r="H253" s="5">
        <f t="shared" si="43"/>
        <v>4.86</v>
      </c>
      <c r="I253" s="5">
        <f t="shared" si="43"/>
        <v>4.69</v>
      </c>
      <c r="J253" s="5">
        <f t="shared" si="43"/>
        <v>4.6</v>
      </c>
      <c r="K253" s="5">
        <f t="shared" si="43"/>
        <v>4.5</v>
      </c>
      <c r="L253" s="5">
        <f t="shared" si="43"/>
        <v>4.35</v>
      </c>
      <c r="M253" s="5">
        <f t="shared" si="43"/>
        <v>4.33</v>
      </c>
      <c r="N253" s="5">
        <f t="shared" si="43"/>
        <v>4.21</v>
      </c>
      <c r="O253" s="5">
        <f t="shared" si="43"/>
        <v>4.08</v>
      </c>
      <c r="P253" s="5">
        <f t="shared" si="43"/>
        <v>3.92</v>
      </c>
      <c r="Q253" s="5">
        <f t="shared" si="43"/>
        <v>3.48</v>
      </c>
      <c r="R253" s="5">
        <f t="shared" si="43"/>
        <v>2.87</v>
      </c>
      <c r="S253" s="5">
        <f t="shared" si="42"/>
        <v>2.68</v>
      </c>
      <c r="T253" s="5">
        <f t="shared" si="42"/>
        <v>2.26</v>
      </c>
      <c r="U253" s="5">
        <f t="shared" si="42"/>
        <v>1.84</v>
      </c>
      <c r="V253" s="5">
        <f t="shared" si="42"/>
        <v>1.77</v>
      </c>
      <c r="W253" s="5">
        <f t="shared" si="42"/>
        <v>1.59</v>
      </c>
      <c r="X253" s="5">
        <f t="shared" si="42"/>
        <v>1.5</v>
      </c>
      <c r="Y253" s="5">
        <f t="shared" si="42"/>
        <v>1.4</v>
      </c>
      <c r="Z253" s="5">
        <f t="shared" si="42"/>
        <v>1.38</v>
      </c>
      <c r="AA253" s="5">
        <f t="shared" si="42"/>
        <v>1.32</v>
      </c>
      <c r="AB253" s="5">
        <f t="shared" si="42"/>
        <v>1.23</v>
      </c>
      <c r="AC253" s="5">
        <f t="shared" si="42"/>
        <v>1.16</v>
      </c>
      <c r="AD253" s="5">
        <f t="shared" si="42"/>
        <v>1.15</v>
      </c>
      <c r="AE253" s="5">
        <f t="shared" si="42"/>
        <v>1.1</v>
      </c>
      <c r="AF253" s="5">
        <f t="shared" si="42"/>
        <v>1.09</v>
      </c>
      <c r="AG253" s="5">
        <f t="shared" si="42"/>
        <v>1.08</v>
      </c>
      <c r="AH253" s="5">
        <f t="shared" si="37"/>
        <v>1.04</v>
      </c>
      <c r="AI253" s="5">
        <f t="shared" si="37"/>
        <v>1.01</v>
      </c>
      <c r="AJ253" s="5">
        <f t="shared" si="37"/>
        <v>1</v>
      </c>
    </row>
    <row r="254" spans="1:36">
      <c r="A254" t="str">
        <f>"primary_archetype_"&amp;TEXT(ROUND(Table213[[#This Row],[2016]],1),"0.0")</f>
        <v>primary_archetype_5.1</v>
      </c>
      <c r="B254" s="5">
        <f t="shared" si="34"/>
        <v>5.1</v>
      </c>
      <c r="C254" s="5">
        <f t="shared" si="43"/>
        <v>5.1</v>
      </c>
      <c r="D254" s="5">
        <f t="shared" si="43"/>
        <v>5.1</v>
      </c>
      <c r="E254" s="5">
        <f t="shared" si="43"/>
        <v>5.02</v>
      </c>
      <c r="F254" s="5">
        <f t="shared" si="43"/>
        <v>4.83</v>
      </c>
      <c r="G254" s="5">
        <f t="shared" si="43"/>
        <v>4.85</v>
      </c>
      <c r="H254" s="5">
        <f t="shared" si="43"/>
        <v>4.77</v>
      </c>
      <c r="I254" s="5">
        <f t="shared" si="43"/>
        <v>4.6</v>
      </c>
      <c r="J254" s="5">
        <f t="shared" si="43"/>
        <v>4.51</v>
      </c>
      <c r="K254" s="5">
        <f t="shared" si="43"/>
        <v>4.42</v>
      </c>
      <c r="L254" s="5">
        <f t="shared" si="43"/>
        <v>4.27</v>
      </c>
      <c r="M254" s="5">
        <f t="shared" si="43"/>
        <v>4.25</v>
      </c>
      <c r="N254" s="5">
        <f t="shared" si="43"/>
        <v>4.13</v>
      </c>
      <c r="O254" s="5">
        <f t="shared" si="43"/>
        <v>4</v>
      </c>
      <c r="P254" s="5">
        <f t="shared" si="43"/>
        <v>3.85</v>
      </c>
      <c r="Q254" s="5">
        <f t="shared" si="43"/>
        <v>3.42</v>
      </c>
      <c r="R254" s="5">
        <f t="shared" si="43"/>
        <v>2.83</v>
      </c>
      <c r="S254" s="5">
        <f t="shared" si="42"/>
        <v>2.64</v>
      </c>
      <c r="T254" s="5">
        <f t="shared" si="42"/>
        <v>2.23</v>
      </c>
      <c r="U254" s="5">
        <f t="shared" si="42"/>
        <v>1.82</v>
      </c>
      <c r="V254" s="5">
        <f t="shared" si="42"/>
        <v>1.76</v>
      </c>
      <c r="W254" s="5">
        <f t="shared" si="42"/>
        <v>1.58</v>
      </c>
      <c r="X254" s="5">
        <f t="shared" si="42"/>
        <v>1.48</v>
      </c>
      <c r="Y254" s="5">
        <f t="shared" si="42"/>
        <v>1.39</v>
      </c>
      <c r="Z254" s="5">
        <f t="shared" si="42"/>
        <v>1.37</v>
      </c>
      <c r="AA254" s="5">
        <f t="shared" si="42"/>
        <v>1.32</v>
      </c>
      <c r="AB254" s="5">
        <f t="shared" si="42"/>
        <v>1.23</v>
      </c>
      <c r="AC254" s="5">
        <f t="shared" si="42"/>
        <v>1.16</v>
      </c>
      <c r="AD254" s="5">
        <f t="shared" si="42"/>
        <v>1.15</v>
      </c>
      <c r="AE254" s="5">
        <f t="shared" si="42"/>
        <v>1.1</v>
      </c>
      <c r="AF254" s="5">
        <f t="shared" si="42"/>
        <v>1.08</v>
      </c>
      <c r="AG254" s="5">
        <f t="shared" si="42"/>
        <v>1.07</v>
      </c>
      <c r="AH254" s="5">
        <f t="shared" si="37"/>
        <v>1.04</v>
      </c>
      <c r="AI254" s="5">
        <f t="shared" si="37"/>
        <v>1.02</v>
      </c>
      <c r="AJ254" s="5">
        <f t="shared" si="37"/>
        <v>1.01</v>
      </c>
    </row>
    <row r="255" spans="1:36">
      <c r="A255" t="str">
        <f>"primary_archetype_"&amp;TEXT(ROUND(Table213[[#This Row],[2016]],1),"0.0")</f>
        <v>primary_archetype_5.0</v>
      </c>
      <c r="B255" s="5">
        <f t="shared" si="34"/>
        <v>5</v>
      </c>
      <c r="C255" s="5">
        <f t="shared" si="43"/>
        <v>5</v>
      </c>
      <c r="D255" s="5">
        <f t="shared" si="43"/>
        <v>5</v>
      </c>
      <c r="E255" s="5">
        <f t="shared" si="43"/>
        <v>4.92</v>
      </c>
      <c r="F255" s="5">
        <f t="shared" si="43"/>
        <v>4.73</v>
      </c>
      <c r="G255" s="5">
        <f t="shared" si="43"/>
        <v>4.76</v>
      </c>
      <c r="H255" s="5">
        <f t="shared" si="43"/>
        <v>4.68</v>
      </c>
      <c r="I255" s="5">
        <f t="shared" si="43"/>
        <v>4.52</v>
      </c>
      <c r="J255" s="5">
        <f t="shared" si="43"/>
        <v>4.43</v>
      </c>
      <c r="K255" s="5">
        <f t="shared" si="43"/>
        <v>4.34</v>
      </c>
      <c r="L255" s="5">
        <f t="shared" si="43"/>
        <v>4.19</v>
      </c>
      <c r="M255" s="5">
        <f t="shared" si="43"/>
        <v>4.17</v>
      </c>
      <c r="N255" s="5">
        <f t="shared" si="43"/>
        <v>4.05</v>
      </c>
      <c r="O255" s="5">
        <f t="shared" si="43"/>
        <v>3.93</v>
      </c>
      <c r="P255" s="5">
        <f t="shared" si="43"/>
        <v>3.79</v>
      </c>
      <c r="Q255" s="5">
        <f t="shared" si="43"/>
        <v>3.36</v>
      </c>
      <c r="R255" s="5">
        <f t="shared" si="43"/>
        <v>2.78</v>
      </c>
      <c r="S255" s="5">
        <f t="shared" si="42"/>
        <v>2.6</v>
      </c>
      <c r="T255" s="5">
        <f t="shared" si="42"/>
        <v>2.2</v>
      </c>
      <c r="U255" s="5">
        <f t="shared" si="42"/>
        <v>1.8</v>
      </c>
      <c r="V255" s="5">
        <f t="shared" si="42"/>
        <v>1.74</v>
      </c>
      <c r="W255" s="5">
        <f t="shared" si="42"/>
        <v>1.56</v>
      </c>
      <c r="X255" s="5">
        <f t="shared" si="42"/>
        <v>1.47</v>
      </c>
      <c r="Y255" s="5">
        <f t="shared" si="42"/>
        <v>1.38</v>
      </c>
      <c r="Z255" s="5">
        <f t="shared" si="42"/>
        <v>1.37</v>
      </c>
      <c r="AA255" s="5">
        <f t="shared" si="42"/>
        <v>1.31</v>
      </c>
      <c r="AB255" s="5">
        <f t="shared" si="42"/>
        <v>1.22</v>
      </c>
      <c r="AC255" s="5">
        <f t="shared" si="42"/>
        <v>1.15</v>
      </c>
      <c r="AD255" s="5">
        <f t="shared" si="42"/>
        <v>1.14</v>
      </c>
      <c r="AE255" s="5">
        <f t="shared" si="42"/>
        <v>1.1</v>
      </c>
      <c r="AF255" s="5">
        <f t="shared" si="42"/>
        <v>1.08</v>
      </c>
      <c r="AG255" s="5">
        <f t="shared" si="42"/>
        <v>1.07</v>
      </c>
      <c r="AH255" s="5">
        <f t="shared" si="37"/>
        <v>1.04</v>
      </c>
      <c r="AI255" s="5">
        <f t="shared" si="37"/>
        <v>1.02</v>
      </c>
      <c r="AJ255" s="5">
        <f t="shared" si="37"/>
        <v>1.01</v>
      </c>
    </row>
    <row r="256" spans="1:36">
      <c r="A256" t="str">
        <f>"primary_archetype_"&amp;TEXT(ROUND(Table213[[#This Row],[2016]],1),"0.0")</f>
        <v>primary_archetype_4.9</v>
      </c>
      <c r="B256" s="5">
        <f t="shared" si="34"/>
        <v>4.9</v>
      </c>
      <c r="C256" s="5">
        <f t="shared" si="43"/>
        <v>4.9</v>
      </c>
      <c r="D256" s="5">
        <f t="shared" si="43"/>
        <v>4.9</v>
      </c>
      <c r="E256" s="5">
        <f t="shared" si="43"/>
        <v>4.82</v>
      </c>
      <c r="F256" s="5">
        <f t="shared" si="43"/>
        <v>4.64</v>
      </c>
      <c r="G256" s="5">
        <f t="shared" si="43"/>
        <v>4.66</v>
      </c>
      <c r="H256" s="5">
        <f t="shared" si="43"/>
        <v>4.58</v>
      </c>
      <c r="I256" s="5">
        <f t="shared" si="43"/>
        <v>4.43</v>
      </c>
      <c r="J256" s="5">
        <f t="shared" si="43"/>
        <v>4.34</v>
      </c>
      <c r="K256" s="5">
        <f t="shared" si="43"/>
        <v>4.25</v>
      </c>
      <c r="L256" s="5">
        <f t="shared" si="43"/>
        <v>4.11</v>
      </c>
      <c r="M256" s="5">
        <f t="shared" si="43"/>
        <v>4.09</v>
      </c>
      <c r="N256" s="5">
        <f t="shared" si="43"/>
        <v>3.98</v>
      </c>
      <c r="O256" s="5">
        <f t="shared" si="43"/>
        <v>3.86</v>
      </c>
      <c r="P256" s="5">
        <f t="shared" si="43"/>
        <v>3.72</v>
      </c>
      <c r="Q256" s="5">
        <f t="shared" si="43"/>
        <v>3.3</v>
      </c>
      <c r="R256" s="5">
        <f t="shared" si="43"/>
        <v>2.74</v>
      </c>
      <c r="S256" s="5">
        <f t="shared" si="42"/>
        <v>2.56</v>
      </c>
      <c r="T256" s="5">
        <f t="shared" si="42"/>
        <v>2.17</v>
      </c>
      <c r="U256" s="5">
        <f t="shared" si="42"/>
        <v>1.78</v>
      </c>
      <c r="V256" s="5">
        <f t="shared" si="42"/>
        <v>1.72</v>
      </c>
      <c r="W256" s="5">
        <f t="shared" si="42"/>
        <v>1.55</v>
      </c>
      <c r="X256" s="5">
        <f t="shared" si="42"/>
        <v>1.46</v>
      </c>
      <c r="Y256" s="5">
        <f t="shared" si="42"/>
        <v>1.37</v>
      </c>
      <c r="Z256" s="5">
        <f t="shared" si="42"/>
        <v>1.36</v>
      </c>
      <c r="AA256" s="5">
        <f t="shared" si="42"/>
        <v>1.3</v>
      </c>
      <c r="AB256" s="5">
        <f t="shared" si="42"/>
        <v>1.22</v>
      </c>
      <c r="AC256" s="5">
        <f t="shared" si="42"/>
        <v>1.15</v>
      </c>
      <c r="AD256" s="5">
        <f t="shared" si="42"/>
        <v>1.14</v>
      </c>
      <c r="AE256" s="5">
        <f t="shared" si="42"/>
        <v>1.09</v>
      </c>
      <c r="AF256" s="5">
        <f t="shared" si="42"/>
        <v>1.08</v>
      </c>
      <c r="AG256" s="5">
        <f t="shared" si="42"/>
        <v>1.07</v>
      </c>
      <c r="AH256" s="5">
        <f t="shared" si="37"/>
        <v>1.04</v>
      </c>
      <c r="AI256" s="5">
        <f t="shared" si="37"/>
        <v>1.02</v>
      </c>
      <c r="AJ256" s="5">
        <f t="shared" si="37"/>
        <v>1.01</v>
      </c>
    </row>
    <row r="257" spans="1:36">
      <c r="A257" t="str">
        <f>"primary_archetype_"&amp;TEXT(ROUND(Table213[[#This Row],[2016]],1),"0.0")</f>
        <v>primary_archetype_4.8</v>
      </c>
      <c r="B257" s="5">
        <f t="shared" si="34"/>
        <v>4.8</v>
      </c>
      <c r="C257" s="5">
        <f t="shared" si="43"/>
        <v>4.8</v>
      </c>
      <c r="D257" s="5">
        <f t="shared" si="43"/>
        <v>4.8</v>
      </c>
      <c r="E257" s="5">
        <f t="shared" si="43"/>
        <v>4.73</v>
      </c>
      <c r="F257" s="5">
        <f t="shared" si="43"/>
        <v>4.55</v>
      </c>
      <c r="G257" s="5">
        <f t="shared" si="43"/>
        <v>4.57</v>
      </c>
      <c r="H257" s="5">
        <f t="shared" si="43"/>
        <v>4.49</v>
      </c>
      <c r="I257" s="5">
        <f t="shared" si="43"/>
        <v>4.34</v>
      </c>
      <c r="J257" s="5">
        <f t="shared" si="43"/>
        <v>4.26</v>
      </c>
      <c r="K257" s="5">
        <f t="shared" si="43"/>
        <v>4.17</v>
      </c>
      <c r="L257" s="5">
        <f t="shared" si="43"/>
        <v>4.03</v>
      </c>
      <c r="M257" s="5">
        <f t="shared" si="43"/>
        <v>4.01</v>
      </c>
      <c r="N257" s="5">
        <f t="shared" si="43"/>
        <v>3.9</v>
      </c>
      <c r="O257" s="5">
        <f t="shared" si="43"/>
        <v>3.78</v>
      </c>
      <c r="P257" s="5">
        <f t="shared" si="43"/>
        <v>3.65</v>
      </c>
      <c r="Q257" s="5">
        <f t="shared" si="43"/>
        <v>3.24</v>
      </c>
      <c r="R257" s="5">
        <f t="shared" si="43"/>
        <v>2.69</v>
      </c>
      <c r="S257" s="5">
        <f t="shared" si="42"/>
        <v>2.52</v>
      </c>
      <c r="T257" s="5">
        <f t="shared" si="42"/>
        <v>2.14</v>
      </c>
      <c r="U257" s="5">
        <f t="shared" si="42"/>
        <v>1.76</v>
      </c>
      <c r="V257" s="5">
        <f t="shared" si="42"/>
        <v>1.7</v>
      </c>
      <c r="W257" s="5">
        <f t="shared" si="42"/>
        <v>1.54</v>
      </c>
      <c r="X257" s="5">
        <f t="shared" si="42"/>
        <v>1.45</v>
      </c>
      <c r="Y257" s="5">
        <f t="shared" si="42"/>
        <v>1.36</v>
      </c>
      <c r="Z257" s="5">
        <f t="shared" si="42"/>
        <v>1.35</v>
      </c>
      <c r="AA257" s="5">
        <f t="shared" si="42"/>
        <v>1.29</v>
      </c>
      <c r="AB257" s="5">
        <f t="shared" si="42"/>
        <v>1.21</v>
      </c>
      <c r="AC257" s="5">
        <f t="shared" si="42"/>
        <v>1.15</v>
      </c>
      <c r="AD257" s="5">
        <f t="shared" si="42"/>
        <v>1.14</v>
      </c>
      <c r="AE257" s="5">
        <f t="shared" si="42"/>
        <v>1.09</v>
      </c>
      <c r="AF257" s="5">
        <f t="shared" si="42"/>
        <v>1.08</v>
      </c>
      <c r="AG257" s="5">
        <f t="shared" si="42"/>
        <v>1.07</v>
      </c>
      <c r="AH257" s="5">
        <f t="shared" si="37"/>
        <v>1.04</v>
      </c>
      <c r="AI257" s="5">
        <f t="shared" si="37"/>
        <v>1.02</v>
      </c>
      <c r="AJ257" s="5">
        <f t="shared" si="37"/>
        <v>1.01</v>
      </c>
    </row>
    <row r="258" spans="1:36">
      <c r="A258" t="str">
        <f>"primary_archetype_"&amp;TEXT(ROUND(Table213[[#This Row],[2016]],1),"0.0")</f>
        <v>primary_archetype_4.7</v>
      </c>
      <c r="B258" s="5">
        <f t="shared" si="34"/>
        <v>4.7</v>
      </c>
      <c r="C258" s="5">
        <f t="shared" si="43"/>
        <v>4.7</v>
      </c>
      <c r="D258" s="5">
        <f t="shared" si="43"/>
        <v>4.7</v>
      </c>
      <c r="E258" s="5">
        <f t="shared" si="43"/>
        <v>4.63</v>
      </c>
      <c r="F258" s="5">
        <f t="shared" si="43"/>
        <v>4.45</v>
      </c>
      <c r="G258" s="5">
        <f t="shared" si="43"/>
        <v>4.48</v>
      </c>
      <c r="H258" s="5">
        <f t="shared" si="43"/>
        <v>4.4</v>
      </c>
      <c r="I258" s="5">
        <f t="shared" si="43"/>
        <v>4.25</v>
      </c>
      <c r="J258" s="5">
        <f t="shared" si="43"/>
        <v>4.17</v>
      </c>
      <c r="K258" s="5">
        <f t="shared" si="43"/>
        <v>4.09</v>
      </c>
      <c r="L258" s="5">
        <f t="shared" si="43"/>
        <v>3.95</v>
      </c>
      <c r="M258" s="5">
        <f t="shared" si="43"/>
        <v>3.94</v>
      </c>
      <c r="N258" s="5">
        <f t="shared" si="43"/>
        <v>3.83</v>
      </c>
      <c r="O258" s="5">
        <f t="shared" si="43"/>
        <v>3.71</v>
      </c>
      <c r="P258" s="5">
        <f t="shared" si="43"/>
        <v>3.58</v>
      </c>
      <c r="Q258" s="5">
        <f t="shared" si="43"/>
        <v>3.18</v>
      </c>
      <c r="R258" s="5">
        <f t="shared" si="43"/>
        <v>2.65</v>
      </c>
      <c r="S258" s="5">
        <f t="shared" si="42"/>
        <v>2.48</v>
      </c>
      <c r="T258" s="5">
        <f t="shared" si="42"/>
        <v>2.11</v>
      </c>
      <c r="U258" s="5">
        <f t="shared" si="42"/>
        <v>1.74</v>
      </c>
      <c r="V258" s="5">
        <f t="shared" si="42"/>
        <v>1.69</v>
      </c>
      <c r="W258" s="5">
        <f t="shared" si="42"/>
        <v>1.52</v>
      </c>
      <c r="X258" s="5">
        <f t="shared" si="42"/>
        <v>1.44</v>
      </c>
      <c r="Y258" s="5">
        <f t="shared" si="42"/>
        <v>1.35</v>
      </c>
      <c r="Z258" s="5">
        <f t="shared" si="42"/>
        <v>1.34</v>
      </c>
      <c r="AA258" s="5">
        <f t="shared" si="42"/>
        <v>1.29</v>
      </c>
      <c r="AB258" s="5">
        <f t="shared" si="42"/>
        <v>1.21</v>
      </c>
      <c r="AC258" s="5">
        <f t="shared" si="42"/>
        <v>1.15</v>
      </c>
      <c r="AD258" s="5">
        <f t="shared" si="42"/>
        <v>1.13</v>
      </c>
      <c r="AE258" s="5">
        <f t="shared" si="42"/>
        <v>1.09</v>
      </c>
      <c r="AF258" s="5">
        <f t="shared" si="42"/>
        <v>1.08</v>
      </c>
      <c r="AG258" s="5">
        <f t="shared" si="42"/>
        <v>1.07</v>
      </c>
      <c r="AH258" s="5">
        <f t="shared" si="37"/>
        <v>1.04</v>
      </c>
      <c r="AI258" s="5">
        <f t="shared" si="37"/>
        <v>1.02</v>
      </c>
      <c r="AJ258" s="5">
        <f t="shared" si="37"/>
        <v>1.01</v>
      </c>
    </row>
    <row r="259" spans="1:36">
      <c r="A259" t="str">
        <f>"primary_archetype_"&amp;TEXT(ROUND(Table213[[#This Row],[2016]],1),"0.0")</f>
        <v>primary_archetype_4.6</v>
      </c>
      <c r="B259" s="5">
        <f t="shared" si="34"/>
        <v>4.6</v>
      </c>
      <c r="C259" s="5">
        <f t="shared" si="43"/>
        <v>4.6</v>
      </c>
      <c r="D259" s="5">
        <f t="shared" si="43"/>
        <v>4.6</v>
      </c>
      <c r="E259" s="5">
        <f t="shared" si="43"/>
        <v>4.53</v>
      </c>
      <c r="F259" s="5">
        <f t="shared" si="43"/>
        <v>4.36</v>
      </c>
      <c r="G259" s="5">
        <f t="shared" si="43"/>
        <v>4.38</v>
      </c>
      <c r="H259" s="5">
        <f t="shared" si="43"/>
        <v>4.31</v>
      </c>
      <c r="I259" s="5">
        <f t="shared" si="43"/>
        <v>4.17</v>
      </c>
      <c r="J259" s="5">
        <f t="shared" si="43"/>
        <v>4.09</v>
      </c>
      <c r="K259" s="5">
        <f t="shared" si="43"/>
        <v>4</v>
      </c>
      <c r="L259" s="5">
        <f t="shared" si="43"/>
        <v>3.87</v>
      </c>
      <c r="M259" s="5">
        <f t="shared" si="43"/>
        <v>3.86</v>
      </c>
      <c r="N259" s="5">
        <f t="shared" si="43"/>
        <v>3.75</v>
      </c>
      <c r="O259" s="5">
        <f t="shared" si="43"/>
        <v>3.64</v>
      </c>
      <c r="P259" s="5">
        <f t="shared" si="43"/>
        <v>3.51</v>
      </c>
      <c r="Q259" s="5">
        <f t="shared" si="43"/>
        <v>3.12</v>
      </c>
      <c r="R259" s="5">
        <f t="shared" si="43"/>
        <v>2.61</v>
      </c>
      <c r="S259" s="5">
        <f t="shared" si="42"/>
        <v>2.44</v>
      </c>
      <c r="T259" s="5">
        <f t="shared" si="42"/>
        <v>2.08</v>
      </c>
      <c r="U259" s="5">
        <f t="shared" si="42"/>
        <v>1.72</v>
      </c>
      <c r="V259" s="5">
        <f t="shared" si="42"/>
        <v>1.67</v>
      </c>
      <c r="W259" s="5">
        <f t="shared" si="42"/>
        <v>1.51</v>
      </c>
      <c r="X259" s="5">
        <f t="shared" si="42"/>
        <v>1.43</v>
      </c>
      <c r="Y259" s="5">
        <f t="shared" si="42"/>
        <v>1.35</v>
      </c>
      <c r="Z259" s="5">
        <f t="shared" si="42"/>
        <v>1.33</v>
      </c>
      <c r="AA259" s="5">
        <f t="shared" si="42"/>
        <v>1.28</v>
      </c>
      <c r="AB259" s="5">
        <f t="shared" si="42"/>
        <v>1.2</v>
      </c>
      <c r="AC259" s="5">
        <f t="shared" si="42"/>
        <v>1.14</v>
      </c>
      <c r="AD259" s="5">
        <f t="shared" si="42"/>
        <v>1.13</v>
      </c>
      <c r="AE259" s="5">
        <f t="shared" si="42"/>
        <v>1.09</v>
      </c>
      <c r="AF259" s="5">
        <f t="shared" si="42"/>
        <v>1.08</v>
      </c>
      <c r="AG259" s="5">
        <f t="shared" si="42"/>
        <v>1.07</v>
      </c>
      <c r="AH259" s="5">
        <f t="shared" si="37"/>
        <v>1.04</v>
      </c>
      <c r="AI259" s="5">
        <f t="shared" si="37"/>
        <v>1.02</v>
      </c>
      <c r="AJ259" s="5">
        <f t="shared" si="37"/>
        <v>1.01</v>
      </c>
    </row>
    <row r="260" spans="1:36">
      <c r="A260" t="str">
        <f>"primary_archetype_"&amp;TEXT(ROUND(Table213[[#This Row],[2016]],1),"0.0")</f>
        <v>primary_archetype_4.5</v>
      </c>
      <c r="B260" s="5">
        <f t="shared" si="34"/>
        <v>4.5</v>
      </c>
      <c r="C260" s="5">
        <f t="shared" si="43"/>
        <v>4.5</v>
      </c>
      <c r="D260" s="5">
        <f t="shared" si="43"/>
        <v>4.5</v>
      </c>
      <c r="E260" s="5">
        <f t="shared" si="43"/>
        <v>4.43</v>
      </c>
      <c r="F260" s="5">
        <f t="shared" si="43"/>
        <v>4.27</v>
      </c>
      <c r="G260" s="5">
        <f t="shared" si="43"/>
        <v>4.29</v>
      </c>
      <c r="H260" s="5">
        <f t="shared" si="43"/>
        <v>4.22</v>
      </c>
      <c r="I260" s="5">
        <f t="shared" si="43"/>
        <v>4.08</v>
      </c>
      <c r="J260" s="5">
        <f t="shared" si="43"/>
        <v>4</v>
      </c>
      <c r="K260" s="5">
        <f t="shared" si="43"/>
        <v>3.92</v>
      </c>
      <c r="L260" s="5">
        <f t="shared" si="43"/>
        <v>3.79</v>
      </c>
      <c r="M260" s="5">
        <f t="shared" si="43"/>
        <v>3.78</v>
      </c>
      <c r="N260" s="5">
        <f t="shared" si="43"/>
        <v>3.67</v>
      </c>
      <c r="O260" s="5">
        <f t="shared" si="43"/>
        <v>3.57</v>
      </c>
      <c r="P260" s="5">
        <f t="shared" si="43"/>
        <v>3.44</v>
      </c>
      <c r="Q260" s="5">
        <f t="shared" si="43"/>
        <v>3.07</v>
      </c>
      <c r="R260" s="5">
        <f t="shared" si="43"/>
        <v>2.56</v>
      </c>
      <c r="S260" s="5">
        <f t="shared" si="42"/>
        <v>2.4</v>
      </c>
      <c r="T260" s="5">
        <f t="shared" si="42"/>
        <v>2.05</v>
      </c>
      <c r="U260" s="5">
        <f t="shared" si="42"/>
        <v>1.7</v>
      </c>
      <c r="V260" s="5">
        <f t="shared" si="42"/>
        <v>1.65</v>
      </c>
      <c r="W260" s="5">
        <f t="shared" si="42"/>
        <v>1.5</v>
      </c>
      <c r="X260" s="5">
        <f t="shared" si="42"/>
        <v>1.42</v>
      </c>
      <c r="Y260" s="5">
        <f t="shared" si="42"/>
        <v>1.34</v>
      </c>
      <c r="Z260" s="5">
        <f t="shared" si="42"/>
        <v>1.32</v>
      </c>
      <c r="AA260" s="5">
        <f t="shared" si="42"/>
        <v>1.27</v>
      </c>
      <c r="AB260" s="5">
        <f t="shared" si="42"/>
        <v>1.2</v>
      </c>
      <c r="AC260" s="5">
        <f t="shared" si="42"/>
        <v>1.14</v>
      </c>
      <c r="AD260" s="5">
        <f t="shared" si="42"/>
        <v>1.13</v>
      </c>
      <c r="AE260" s="5">
        <f t="shared" si="42"/>
        <v>1.09</v>
      </c>
      <c r="AF260" s="5">
        <f t="shared" si="42"/>
        <v>1.08</v>
      </c>
      <c r="AG260" s="5">
        <f t="shared" si="42"/>
        <v>1.07</v>
      </c>
      <c r="AH260" s="5">
        <f t="shared" si="37"/>
        <v>1.04</v>
      </c>
      <c r="AI260" s="5">
        <f t="shared" si="37"/>
        <v>1.02</v>
      </c>
      <c r="AJ260" s="5">
        <f t="shared" si="37"/>
        <v>1.01</v>
      </c>
    </row>
    <row r="261" spans="1:36">
      <c r="A261" t="str">
        <f>"primary_archetype_"&amp;TEXT(ROUND(Table213[[#This Row],[2016]],1),"0.0")</f>
        <v>primary_archetype_4.4</v>
      </c>
      <c r="B261" s="5">
        <f t="shared" si="34"/>
        <v>4.4</v>
      </c>
      <c r="C261" s="5">
        <f t="shared" si="43"/>
        <v>4.4</v>
      </c>
      <c r="D261" s="5">
        <f t="shared" si="43"/>
        <v>4.4</v>
      </c>
      <c r="E261" s="5">
        <f t="shared" si="43"/>
        <v>4.33</v>
      </c>
      <c r="F261" s="5">
        <f t="shared" si="43"/>
        <v>4.17</v>
      </c>
      <c r="G261" s="5">
        <f t="shared" si="43"/>
        <v>4.2</v>
      </c>
      <c r="H261" s="5">
        <f t="shared" si="43"/>
        <v>4.13</v>
      </c>
      <c r="I261" s="5">
        <f t="shared" si="43"/>
        <v>3.99</v>
      </c>
      <c r="J261" s="5">
        <f t="shared" si="43"/>
        <v>3.91</v>
      </c>
      <c r="K261" s="5">
        <f t="shared" si="43"/>
        <v>3.84</v>
      </c>
      <c r="L261" s="5">
        <f t="shared" si="43"/>
        <v>3.71</v>
      </c>
      <c r="M261" s="5">
        <f t="shared" si="43"/>
        <v>3.7</v>
      </c>
      <c r="N261" s="5">
        <f t="shared" si="43"/>
        <v>3.6</v>
      </c>
      <c r="O261" s="5">
        <f t="shared" si="43"/>
        <v>3.49</v>
      </c>
      <c r="P261" s="5">
        <f t="shared" si="43"/>
        <v>3.37</v>
      </c>
      <c r="Q261" s="5">
        <f t="shared" si="43"/>
        <v>3.01</v>
      </c>
      <c r="R261" s="5">
        <f t="shared" si="43"/>
        <v>2.52</v>
      </c>
      <c r="S261" s="5">
        <f t="shared" si="42"/>
        <v>2.36</v>
      </c>
      <c r="T261" s="5">
        <f t="shared" si="42"/>
        <v>2.02</v>
      </c>
      <c r="U261" s="5">
        <f t="shared" si="42"/>
        <v>1.68</v>
      </c>
      <c r="V261" s="5">
        <f t="shared" si="42"/>
        <v>1.63</v>
      </c>
      <c r="W261" s="5">
        <f t="shared" si="42"/>
        <v>1.48</v>
      </c>
      <c r="X261" s="5">
        <f t="shared" si="42"/>
        <v>1.41</v>
      </c>
      <c r="Y261" s="5">
        <f t="shared" si="42"/>
        <v>1.33</v>
      </c>
      <c r="Z261" s="5">
        <f t="shared" si="42"/>
        <v>1.32</v>
      </c>
      <c r="AA261" s="5">
        <f t="shared" si="42"/>
        <v>1.27</v>
      </c>
      <c r="AB261" s="5">
        <f t="shared" si="42"/>
        <v>1.2</v>
      </c>
      <c r="AC261" s="5">
        <f t="shared" si="42"/>
        <v>1.14</v>
      </c>
      <c r="AD261" s="5">
        <f t="shared" si="42"/>
        <v>1.13</v>
      </c>
      <c r="AE261" s="5">
        <f t="shared" si="42"/>
        <v>1.09</v>
      </c>
      <c r="AF261" s="5">
        <f t="shared" si="42"/>
        <v>1.08</v>
      </c>
      <c r="AG261" s="5">
        <f t="shared" si="42"/>
        <v>1.07</v>
      </c>
      <c r="AH261" s="5">
        <f t="shared" si="37"/>
        <v>1.04</v>
      </c>
      <c r="AI261" s="5">
        <f t="shared" si="37"/>
        <v>1.02</v>
      </c>
      <c r="AJ261" s="5">
        <f t="shared" si="37"/>
        <v>1.01</v>
      </c>
    </row>
    <row r="262" spans="1:36">
      <c r="A262" t="str">
        <f>"primary_archetype_"&amp;TEXT(ROUND(Table213[[#This Row],[2016]],1),"0.0")</f>
        <v>primary_archetype_4.3</v>
      </c>
      <c r="B262" s="5">
        <f t="shared" si="34"/>
        <v>4.3</v>
      </c>
      <c r="C262" s="5">
        <f t="shared" si="43"/>
        <v>4.3</v>
      </c>
      <c r="D262" s="5">
        <f t="shared" si="43"/>
        <v>4.3</v>
      </c>
      <c r="E262" s="5">
        <f t="shared" si="43"/>
        <v>4.24</v>
      </c>
      <c r="F262" s="5">
        <f t="shared" si="43"/>
        <v>4.08</v>
      </c>
      <c r="G262" s="5">
        <f t="shared" si="43"/>
        <v>4.1</v>
      </c>
      <c r="H262" s="5">
        <f t="shared" si="43"/>
        <v>4.03</v>
      </c>
      <c r="I262" s="5">
        <f t="shared" si="43"/>
        <v>3.9</v>
      </c>
      <c r="J262" s="5">
        <f t="shared" si="43"/>
        <v>3.83</v>
      </c>
      <c r="K262" s="5">
        <f t="shared" si="43"/>
        <v>3.75</v>
      </c>
      <c r="L262" s="5">
        <f t="shared" si="43"/>
        <v>3.63</v>
      </c>
      <c r="M262" s="5">
        <f t="shared" si="43"/>
        <v>3.62</v>
      </c>
      <c r="N262" s="5">
        <f t="shared" si="43"/>
        <v>3.52</v>
      </c>
      <c r="O262" s="5">
        <f t="shared" si="43"/>
        <v>3.42</v>
      </c>
      <c r="P262" s="5">
        <f t="shared" si="43"/>
        <v>3.3</v>
      </c>
      <c r="Q262" s="5">
        <f t="shared" si="43"/>
        <v>2.95</v>
      </c>
      <c r="R262" s="5">
        <f t="shared" si="43"/>
        <v>2.47</v>
      </c>
      <c r="S262" s="5">
        <f t="shared" si="42"/>
        <v>2.32</v>
      </c>
      <c r="T262" s="5">
        <f t="shared" si="42"/>
        <v>1.99</v>
      </c>
      <c r="U262" s="5">
        <f t="shared" si="42"/>
        <v>1.66</v>
      </c>
      <c r="V262" s="5">
        <f t="shared" si="42"/>
        <v>1.62</v>
      </c>
      <c r="W262" s="5">
        <f t="shared" si="42"/>
        <v>1.47</v>
      </c>
      <c r="X262" s="5">
        <f t="shared" si="42"/>
        <v>1.4</v>
      </c>
      <c r="Y262" s="5">
        <f t="shared" si="42"/>
        <v>1.32</v>
      </c>
      <c r="Z262" s="5">
        <f t="shared" si="42"/>
        <v>1.31</v>
      </c>
      <c r="AA262" s="5">
        <f t="shared" si="42"/>
        <v>1.26</v>
      </c>
      <c r="AB262" s="5">
        <f t="shared" si="42"/>
        <v>1.19</v>
      </c>
      <c r="AC262" s="5">
        <f t="shared" si="42"/>
        <v>1.13</v>
      </c>
      <c r="AD262" s="5">
        <f t="shared" si="42"/>
        <v>1.12</v>
      </c>
      <c r="AE262" s="5">
        <f t="shared" si="42"/>
        <v>1.09</v>
      </c>
      <c r="AF262" s="5">
        <f t="shared" si="42"/>
        <v>1.07</v>
      </c>
      <c r="AG262" s="5">
        <f t="shared" si="42"/>
        <v>1.07</v>
      </c>
      <c r="AH262" s="5">
        <f t="shared" si="37"/>
        <v>1.04</v>
      </c>
      <c r="AI262" s="5">
        <f t="shared" si="37"/>
        <v>1.02</v>
      </c>
      <c r="AJ262" s="5">
        <f t="shared" si="37"/>
        <v>1.01</v>
      </c>
    </row>
    <row r="263" spans="1:36">
      <c r="A263" t="str">
        <f>"primary_archetype_"&amp;TEXT(ROUND(Table213[[#This Row],[2016]],1),"0.0")</f>
        <v>primary_archetype_4.2</v>
      </c>
      <c r="B263" s="5">
        <f t="shared" si="34"/>
        <v>4.2</v>
      </c>
      <c r="C263" s="5">
        <f t="shared" si="43"/>
        <v>4.2</v>
      </c>
      <c r="D263" s="5">
        <f t="shared" si="43"/>
        <v>4.2</v>
      </c>
      <c r="E263" s="5">
        <f t="shared" si="43"/>
        <v>4.14</v>
      </c>
      <c r="F263" s="5">
        <f t="shared" si="43"/>
        <v>3.99</v>
      </c>
      <c r="G263" s="5">
        <f t="shared" si="43"/>
        <v>4.01</v>
      </c>
      <c r="H263" s="5">
        <f t="shared" si="43"/>
        <v>3.94</v>
      </c>
      <c r="I263" s="5">
        <f t="shared" si="43"/>
        <v>3.81</v>
      </c>
      <c r="J263" s="5">
        <f t="shared" si="43"/>
        <v>3.74</v>
      </c>
      <c r="K263" s="5">
        <f t="shared" si="43"/>
        <v>3.67</v>
      </c>
      <c r="L263" s="5">
        <f t="shared" si="43"/>
        <v>3.55</v>
      </c>
      <c r="M263" s="5">
        <f t="shared" si="43"/>
        <v>3.54</v>
      </c>
      <c r="N263" s="5">
        <f t="shared" si="43"/>
        <v>3.45</v>
      </c>
      <c r="O263" s="5">
        <f t="shared" si="43"/>
        <v>3.35</v>
      </c>
      <c r="P263" s="5">
        <f t="shared" si="43"/>
        <v>3.23</v>
      </c>
      <c r="Q263" s="5">
        <f t="shared" si="43"/>
        <v>2.89</v>
      </c>
      <c r="R263" s="5">
        <f t="shared" si="43"/>
        <v>2.43</v>
      </c>
      <c r="S263" s="5">
        <f t="shared" si="42"/>
        <v>2.28</v>
      </c>
      <c r="T263" s="5">
        <f t="shared" si="42"/>
        <v>1.97</v>
      </c>
      <c r="U263" s="5">
        <f t="shared" si="42"/>
        <v>1.64</v>
      </c>
      <c r="V263" s="5">
        <f t="shared" si="42"/>
        <v>1.6</v>
      </c>
      <c r="W263" s="5">
        <f t="shared" si="42"/>
        <v>1.46</v>
      </c>
      <c r="X263" s="5">
        <f t="shared" si="42"/>
        <v>1.39</v>
      </c>
      <c r="Y263" s="5">
        <f t="shared" si="42"/>
        <v>1.31</v>
      </c>
      <c r="Z263" s="5">
        <f t="shared" si="42"/>
        <v>1.3</v>
      </c>
      <c r="AA263" s="5">
        <f t="shared" si="42"/>
        <v>1.25</v>
      </c>
      <c r="AB263" s="5">
        <f t="shared" si="42"/>
        <v>1.19</v>
      </c>
      <c r="AC263" s="5">
        <f t="shared" si="42"/>
        <v>1.13</v>
      </c>
      <c r="AD263" s="5">
        <f t="shared" si="42"/>
        <v>1.12</v>
      </c>
      <c r="AE263" s="5">
        <f t="shared" si="42"/>
        <v>1.08</v>
      </c>
      <c r="AF263" s="5">
        <f t="shared" si="42"/>
        <v>1.07</v>
      </c>
      <c r="AG263" s="5">
        <f t="shared" si="42"/>
        <v>1.07</v>
      </c>
      <c r="AH263" s="5">
        <f t="shared" si="37"/>
        <v>1.04</v>
      </c>
      <c r="AI263" s="5">
        <f t="shared" si="37"/>
        <v>1.02</v>
      </c>
      <c r="AJ263" s="5">
        <f t="shared" si="37"/>
        <v>1.01</v>
      </c>
    </row>
    <row r="264" spans="1:36">
      <c r="A264" t="str">
        <f>"primary_archetype_"&amp;TEXT(ROUND(Table213[[#This Row],[2016]],1),"0.0")</f>
        <v>primary_archetype_4.1</v>
      </c>
      <c r="B264" s="5">
        <f t="shared" ref="B264:B295" si="44">MROUND(B263-0.1,0.1)</f>
        <v>4.1</v>
      </c>
      <c r="C264" s="5">
        <f t="shared" si="43"/>
        <v>4.1</v>
      </c>
      <c r="D264" s="5">
        <f t="shared" si="43"/>
        <v>4.1</v>
      </c>
      <c r="E264" s="5">
        <f t="shared" si="43"/>
        <v>4.04</v>
      </c>
      <c r="F264" s="5">
        <f t="shared" si="43"/>
        <v>3.89</v>
      </c>
      <c r="G264" s="5">
        <f t="shared" si="43"/>
        <v>3.91</v>
      </c>
      <c r="H264" s="5">
        <f t="shared" si="43"/>
        <v>3.85</v>
      </c>
      <c r="I264" s="5">
        <f t="shared" si="43"/>
        <v>3.73</v>
      </c>
      <c r="J264" s="5">
        <f t="shared" si="43"/>
        <v>3.66</v>
      </c>
      <c r="K264" s="5">
        <f t="shared" si="43"/>
        <v>3.59</v>
      </c>
      <c r="L264" s="5">
        <f t="shared" si="43"/>
        <v>3.47</v>
      </c>
      <c r="M264" s="5">
        <f t="shared" si="43"/>
        <v>3.46</v>
      </c>
      <c r="N264" s="5">
        <f t="shared" si="43"/>
        <v>3.37</v>
      </c>
      <c r="O264" s="5">
        <f t="shared" si="43"/>
        <v>3.27</v>
      </c>
      <c r="P264" s="5">
        <f t="shared" si="43"/>
        <v>3.16</v>
      </c>
      <c r="Q264" s="5">
        <f t="shared" si="43"/>
        <v>2.83</v>
      </c>
      <c r="R264" s="5">
        <f t="shared" si="43"/>
        <v>2.39</v>
      </c>
      <c r="S264" s="5">
        <f t="shared" si="42"/>
        <v>2.24</v>
      </c>
      <c r="T264" s="5">
        <f t="shared" si="42"/>
        <v>1.94</v>
      </c>
      <c r="U264" s="5">
        <f t="shared" si="42"/>
        <v>1.62</v>
      </c>
      <c r="V264" s="5">
        <f t="shared" si="42"/>
        <v>1.58</v>
      </c>
      <c r="W264" s="5">
        <f t="shared" si="42"/>
        <v>1.44</v>
      </c>
      <c r="X264" s="5">
        <f t="shared" si="42"/>
        <v>1.37</v>
      </c>
      <c r="Y264" s="5">
        <f t="shared" si="42"/>
        <v>1.3</v>
      </c>
      <c r="Z264" s="5">
        <f t="shared" si="42"/>
        <v>1.29</v>
      </c>
      <c r="AA264" s="5">
        <f t="shared" si="42"/>
        <v>1.25</v>
      </c>
      <c r="AB264" s="5">
        <f t="shared" si="42"/>
        <v>1.18</v>
      </c>
      <c r="AC264" s="5">
        <f t="shared" si="42"/>
        <v>1.13</v>
      </c>
      <c r="AD264" s="5">
        <f t="shared" si="42"/>
        <v>1.12</v>
      </c>
      <c r="AE264" s="5">
        <f t="shared" si="42"/>
        <v>1.08</v>
      </c>
      <c r="AF264" s="5">
        <f t="shared" si="42"/>
        <v>1.07</v>
      </c>
      <c r="AG264" s="5">
        <f t="shared" si="42"/>
        <v>1.07</v>
      </c>
      <c r="AH264" s="5">
        <f t="shared" si="37"/>
        <v>1.04</v>
      </c>
      <c r="AI264" s="5">
        <f t="shared" si="37"/>
        <v>1.02</v>
      </c>
      <c r="AJ264" s="5">
        <f t="shared" si="37"/>
        <v>1.01</v>
      </c>
    </row>
    <row r="265" spans="1:36">
      <c r="A265" t="str">
        <f>"primary_archetype_"&amp;TEXT(ROUND(Table213[[#This Row],[2016]],1),"0.0")</f>
        <v>primary_archetype_4.0</v>
      </c>
      <c r="B265" s="5">
        <f t="shared" si="44"/>
        <v>4</v>
      </c>
      <c r="C265" s="5">
        <f t="shared" si="43"/>
        <v>4</v>
      </c>
      <c r="D265" s="5">
        <f t="shared" si="43"/>
        <v>4</v>
      </c>
      <c r="E265" s="5">
        <f t="shared" si="43"/>
        <v>3.94</v>
      </c>
      <c r="F265" s="5">
        <f t="shared" si="43"/>
        <v>3.8</v>
      </c>
      <c r="G265" s="5">
        <f t="shared" si="43"/>
        <v>3.82</v>
      </c>
      <c r="H265" s="5">
        <f t="shared" si="43"/>
        <v>3.76</v>
      </c>
      <c r="I265" s="5">
        <f t="shared" si="43"/>
        <v>3.64</v>
      </c>
      <c r="J265" s="5">
        <f t="shared" si="43"/>
        <v>3.57</v>
      </c>
      <c r="K265" s="5">
        <f t="shared" si="43"/>
        <v>3.5</v>
      </c>
      <c r="L265" s="5">
        <f t="shared" si="43"/>
        <v>3.39</v>
      </c>
      <c r="M265" s="5">
        <f t="shared" si="43"/>
        <v>3.38</v>
      </c>
      <c r="N265" s="5">
        <f t="shared" si="43"/>
        <v>3.29</v>
      </c>
      <c r="O265" s="5">
        <f t="shared" si="43"/>
        <v>3.2</v>
      </c>
      <c r="P265" s="5">
        <f t="shared" si="43"/>
        <v>3.09</v>
      </c>
      <c r="Q265" s="5">
        <f t="shared" si="43"/>
        <v>2.77</v>
      </c>
      <c r="R265" s="5">
        <f t="shared" si="43"/>
        <v>2.34</v>
      </c>
      <c r="S265" s="5">
        <f t="shared" si="42"/>
        <v>2.2</v>
      </c>
      <c r="T265" s="5">
        <f t="shared" si="42"/>
        <v>1.91</v>
      </c>
      <c r="U265" s="5">
        <f t="shared" si="42"/>
        <v>1.61</v>
      </c>
      <c r="V265" s="5">
        <f t="shared" si="42"/>
        <v>1.56</v>
      </c>
      <c r="W265" s="5">
        <f t="shared" si="42"/>
        <v>1.43</v>
      </c>
      <c r="X265" s="5">
        <f t="shared" si="42"/>
        <v>1.36</v>
      </c>
      <c r="Y265" s="5">
        <f t="shared" si="42"/>
        <v>1.29</v>
      </c>
      <c r="Z265" s="5">
        <f t="shared" si="42"/>
        <v>1.28</v>
      </c>
      <c r="AA265" s="5">
        <f t="shared" si="42"/>
        <v>1.24</v>
      </c>
      <c r="AB265" s="5">
        <f t="shared" si="42"/>
        <v>1.18</v>
      </c>
      <c r="AC265" s="5">
        <f t="shared" si="42"/>
        <v>1.12</v>
      </c>
      <c r="AD265" s="5">
        <f t="shared" si="42"/>
        <v>1.12</v>
      </c>
      <c r="AE265" s="5">
        <f t="shared" si="42"/>
        <v>1.08</v>
      </c>
      <c r="AF265" s="5">
        <f t="shared" si="42"/>
        <v>1.07</v>
      </c>
      <c r="AG265" s="5">
        <f t="shared" si="42"/>
        <v>1.06</v>
      </c>
      <c r="AH265" s="5">
        <f t="shared" si="37"/>
        <v>1.04</v>
      </c>
      <c r="AI265" s="5">
        <f t="shared" si="37"/>
        <v>1.02</v>
      </c>
      <c r="AJ265" s="5">
        <f t="shared" si="37"/>
        <v>1.01</v>
      </c>
    </row>
    <row r="266" spans="1:36">
      <c r="A266" t="str">
        <f>"primary_archetype_"&amp;TEXT(ROUND(Table213[[#This Row],[2016]],1),"0.0")</f>
        <v>primary_archetype_3.9</v>
      </c>
      <c r="B266" s="5">
        <f t="shared" si="44"/>
        <v>3.9</v>
      </c>
      <c r="C266" s="5">
        <f t="shared" si="43"/>
        <v>3.9</v>
      </c>
      <c r="D266" s="5">
        <f t="shared" si="43"/>
        <v>3.9</v>
      </c>
      <c r="E266" s="5">
        <f t="shared" si="43"/>
        <v>3.84</v>
      </c>
      <c r="F266" s="5">
        <f t="shared" si="43"/>
        <v>3.71</v>
      </c>
      <c r="G266" s="5">
        <f t="shared" si="43"/>
        <v>3.73</v>
      </c>
      <c r="H266" s="5">
        <f t="shared" si="43"/>
        <v>3.67</v>
      </c>
      <c r="I266" s="5">
        <f t="shared" si="43"/>
        <v>3.55</v>
      </c>
      <c r="J266" s="5">
        <f t="shared" si="43"/>
        <v>3.49</v>
      </c>
      <c r="K266" s="5">
        <f t="shared" si="43"/>
        <v>3.42</v>
      </c>
      <c r="L266" s="5">
        <f t="shared" si="43"/>
        <v>3.32</v>
      </c>
      <c r="M266" s="5">
        <f t="shared" si="43"/>
        <v>3.3</v>
      </c>
      <c r="N266" s="5">
        <f t="shared" si="43"/>
        <v>3.22</v>
      </c>
      <c r="O266" s="5">
        <f t="shared" si="43"/>
        <v>3.13</v>
      </c>
      <c r="P266" s="5">
        <f t="shared" si="43"/>
        <v>3.02</v>
      </c>
      <c r="Q266" s="5">
        <f t="shared" si="43"/>
        <v>2.71</v>
      </c>
      <c r="R266" s="5">
        <f t="shared" si="43"/>
        <v>2.3</v>
      </c>
      <c r="S266" s="5">
        <f t="shared" si="42"/>
        <v>2.17</v>
      </c>
      <c r="T266" s="5">
        <f t="shared" si="42"/>
        <v>1.88</v>
      </c>
      <c r="U266" s="5">
        <f t="shared" si="42"/>
        <v>1.59</v>
      </c>
      <c r="V266" s="5">
        <f t="shared" si="42"/>
        <v>1.54</v>
      </c>
      <c r="W266" s="5">
        <f t="shared" si="42"/>
        <v>1.42</v>
      </c>
      <c r="X266" s="5">
        <f t="shared" si="42"/>
        <v>1.35</v>
      </c>
      <c r="Y266" s="5">
        <f t="shared" si="42"/>
        <v>1.29</v>
      </c>
      <c r="Z266" s="5">
        <f t="shared" si="42"/>
        <v>1.27</v>
      </c>
      <c r="AA266" s="5">
        <f t="shared" si="42"/>
        <v>1.23</v>
      </c>
      <c r="AB266" s="5">
        <f t="shared" si="42"/>
        <v>1.17</v>
      </c>
      <c r="AC266" s="5">
        <f t="shared" si="42"/>
        <v>1.12</v>
      </c>
      <c r="AD266" s="5">
        <f t="shared" si="42"/>
        <v>1.11</v>
      </c>
      <c r="AE266" s="5">
        <f t="shared" si="42"/>
        <v>1.08</v>
      </c>
      <c r="AF266" s="5">
        <f t="shared" si="42"/>
        <v>1.07</v>
      </c>
      <c r="AG266" s="5">
        <f t="shared" si="42"/>
        <v>1.06</v>
      </c>
      <c r="AH266" s="5">
        <f t="shared" si="37"/>
        <v>1.04</v>
      </c>
      <c r="AI266" s="5">
        <f t="shared" si="37"/>
        <v>1.02</v>
      </c>
      <c r="AJ266" s="5">
        <f t="shared" si="37"/>
        <v>1.01</v>
      </c>
    </row>
    <row r="267" spans="1:36">
      <c r="A267" t="str">
        <f>"primary_archetype_"&amp;TEXT(ROUND(Table213[[#This Row],[2016]],1),"0.0")</f>
        <v>primary_archetype_3.8</v>
      </c>
      <c r="B267" s="5">
        <f t="shared" si="44"/>
        <v>3.8</v>
      </c>
      <c r="C267" s="5">
        <f t="shared" si="43"/>
        <v>3.8</v>
      </c>
      <c r="D267" s="5">
        <f t="shared" si="43"/>
        <v>3.8</v>
      </c>
      <c r="E267" s="5">
        <f t="shared" si="43"/>
        <v>3.75</v>
      </c>
      <c r="F267" s="5">
        <f t="shared" si="43"/>
        <v>3.61</v>
      </c>
      <c r="G267" s="5">
        <f t="shared" si="43"/>
        <v>3.63</v>
      </c>
      <c r="H267" s="5">
        <f t="shared" si="43"/>
        <v>3.57</v>
      </c>
      <c r="I267" s="5">
        <f t="shared" si="43"/>
        <v>3.46</v>
      </c>
      <c r="J267" s="5">
        <f t="shared" si="43"/>
        <v>3.4</v>
      </c>
      <c r="K267" s="5">
        <f t="shared" si="43"/>
        <v>3.34</v>
      </c>
      <c r="L267" s="5">
        <f t="shared" si="43"/>
        <v>3.24</v>
      </c>
      <c r="M267" s="5">
        <f t="shared" si="43"/>
        <v>3.22</v>
      </c>
      <c r="N267" s="5">
        <f t="shared" si="43"/>
        <v>3.14</v>
      </c>
      <c r="O267" s="5">
        <f t="shared" si="43"/>
        <v>3.05</v>
      </c>
      <c r="P267" s="5">
        <f t="shared" si="43"/>
        <v>2.95</v>
      </c>
      <c r="Q267" s="5">
        <f t="shared" si="43"/>
        <v>2.66</v>
      </c>
      <c r="R267" s="5">
        <f t="shared" si="43"/>
        <v>2.25</v>
      </c>
      <c r="S267" s="5">
        <f t="shared" si="42"/>
        <v>2.13</v>
      </c>
      <c r="T267" s="5">
        <f t="shared" si="42"/>
        <v>1.85</v>
      </c>
      <c r="U267" s="5">
        <f t="shared" si="42"/>
        <v>1.57</v>
      </c>
      <c r="V267" s="5">
        <f t="shared" si="42"/>
        <v>1.53</v>
      </c>
      <c r="W267" s="5">
        <f t="shared" si="42"/>
        <v>1.4</v>
      </c>
      <c r="X267" s="5">
        <f t="shared" si="42"/>
        <v>1.34</v>
      </c>
      <c r="Y267" s="5">
        <f t="shared" si="42"/>
        <v>1.28</v>
      </c>
      <c r="Z267" s="5">
        <f t="shared" si="42"/>
        <v>1.27</v>
      </c>
      <c r="AA267" s="5">
        <f t="shared" si="42"/>
        <v>1.23</v>
      </c>
      <c r="AB267" s="5">
        <f t="shared" si="42"/>
        <v>1.17</v>
      </c>
      <c r="AC267" s="5">
        <f t="shared" si="42"/>
        <v>1.12</v>
      </c>
      <c r="AD267" s="5">
        <f t="shared" si="42"/>
        <v>1.11</v>
      </c>
      <c r="AE267" s="5">
        <f t="shared" si="42"/>
        <v>1.08</v>
      </c>
      <c r="AF267" s="5">
        <f t="shared" si="42"/>
        <v>1.07</v>
      </c>
      <c r="AG267" s="5">
        <f t="shared" si="42"/>
        <v>1.06</v>
      </c>
      <c r="AH267" s="5">
        <f t="shared" si="37"/>
        <v>1.04</v>
      </c>
      <c r="AI267" s="5">
        <f t="shared" si="37"/>
        <v>1.02</v>
      </c>
      <c r="AJ267" s="5">
        <f t="shared" si="37"/>
        <v>1.02</v>
      </c>
    </row>
    <row r="268" spans="1:36">
      <c r="A268" t="str">
        <f>"primary_archetype_"&amp;TEXT(ROUND(Table213[[#This Row],[2016]],1),"0.0")</f>
        <v>primary_archetype_3.7</v>
      </c>
      <c r="B268" s="5">
        <f t="shared" si="44"/>
        <v>3.7</v>
      </c>
      <c r="C268" s="5">
        <f t="shared" si="43"/>
        <v>3.7</v>
      </c>
      <c r="D268" s="5">
        <f t="shared" si="43"/>
        <v>3.7</v>
      </c>
      <c r="E268" s="5">
        <f t="shared" si="43"/>
        <v>3.65</v>
      </c>
      <c r="F268" s="5">
        <f t="shared" si="43"/>
        <v>3.52</v>
      </c>
      <c r="G268" s="5">
        <f t="shared" si="43"/>
        <v>3.54</v>
      </c>
      <c r="H268" s="5">
        <f t="shared" si="43"/>
        <v>3.48</v>
      </c>
      <c r="I268" s="5">
        <f t="shared" si="43"/>
        <v>3.38</v>
      </c>
      <c r="J268" s="5">
        <f t="shared" si="43"/>
        <v>3.32</v>
      </c>
      <c r="K268" s="5">
        <f t="shared" si="43"/>
        <v>3.25</v>
      </c>
      <c r="L268" s="5">
        <f t="shared" si="43"/>
        <v>3.16</v>
      </c>
      <c r="M268" s="5">
        <f t="shared" si="43"/>
        <v>3.14</v>
      </c>
      <c r="N268" s="5">
        <f t="shared" si="43"/>
        <v>3.06</v>
      </c>
      <c r="O268" s="5">
        <f t="shared" si="43"/>
        <v>2.98</v>
      </c>
      <c r="P268" s="5">
        <f t="shared" si="43"/>
        <v>2.88</v>
      </c>
      <c r="Q268" s="5">
        <f t="shared" si="43"/>
        <v>2.6</v>
      </c>
      <c r="R268" s="5">
        <f t="shared" ref="R268:AG283" si="45">MROUND((($B268-$AH$2)*((R$2-$AH$2)/($B$2-$AH$2)))+$AH$2,0.01)</f>
        <v>2.21</v>
      </c>
      <c r="S268" s="5">
        <f t="shared" si="45"/>
        <v>2.09</v>
      </c>
      <c r="T268" s="5">
        <f t="shared" si="45"/>
        <v>1.82</v>
      </c>
      <c r="U268" s="5">
        <f t="shared" si="45"/>
        <v>1.55</v>
      </c>
      <c r="V268" s="5">
        <f t="shared" si="45"/>
        <v>1.51</v>
      </c>
      <c r="W268" s="5">
        <f t="shared" si="45"/>
        <v>1.39</v>
      </c>
      <c r="X268" s="5">
        <f t="shared" si="45"/>
        <v>1.33</v>
      </c>
      <c r="Y268" s="5">
        <f t="shared" si="45"/>
        <v>1.27</v>
      </c>
      <c r="Z268" s="5">
        <f t="shared" si="45"/>
        <v>1.26</v>
      </c>
      <c r="AA268" s="5">
        <f t="shared" si="45"/>
        <v>1.22</v>
      </c>
      <c r="AB268" s="5">
        <f t="shared" si="45"/>
        <v>1.16</v>
      </c>
      <c r="AC268" s="5">
        <f t="shared" si="45"/>
        <v>1.12</v>
      </c>
      <c r="AD268" s="5">
        <f t="shared" si="45"/>
        <v>1.11</v>
      </c>
      <c r="AE268" s="5">
        <f t="shared" si="45"/>
        <v>1.08</v>
      </c>
      <c r="AF268" s="5">
        <f t="shared" si="45"/>
        <v>1.07</v>
      </c>
      <c r="AG268" s="5">
        <f t="shared" si="45"/>
        <v>1.06</v>
      </c>
      <c r="AH268" s="5">
        <f t="shared" si="37"/>
        <v>1.04</v>
      </c>
      <c r="AI268" s="5">
        <f t="shared" si="37"/>
        <v>1.02</v>
      </c>
      <c r="AJ268" s="5">
        <f t="shared" si="37"/>
        <v>1.02</v>
      </c>
    </row>
    <row r="269" spans="1:36">
      <c r="A269" t="str">
        <f>"primary_archetype_"&amp;TEXT(ROUND(Table213[[#This Row],[2016]],1),"0.0")</f>
        <v>primary_archetype_3.6</v>
      </c>
      <c r="B269" s="5">
        <f t="shared" si="44"/>
        <v>3.6</v>
      </c>
      <c r="C269" s="5">
        <f t="shared" ref="C269:R284" si="46">MROUND((($B269-$AH$2)*((C$2-$AH$2)/($B$2-$AH$2)))+$AH$2,0.01)</f>
        <v>3.6</v>
      </c>
      <c r="D269" s="5">
        <f t="shared" si="46"/>
        <v>3.6</v>
      </c>
      <c r="E269" s="5">
        <f t="shared" si="46"/>
        <v>3.55</v>
      </c>
      <c r="F269" s="5">
        <f t="shared" si="46"/>
        <v>3.43</v>
      </c>
      <c r="G269" s="5">
        <f t="shared" si="46"/>
        <v>3.44</v>
      </c>
      <c r="H269" s="5">
        <f t="shared" si="46"/>
        <v>3.39</v>
      </c>
      <c r="I269" s="5">
        <f t="shared" si="46"/>
        <v>3.29</v>
      </c>
      <c r="J269" s="5">
        <f t="shared" si="46"/>
        <v>3.23</v>
      </c>
      <c r="K269" s="5">
        <f t="shared" si="46"/>
        <v>3.17</v>
      </c>
      <c r="L269" s="5">
        <f t="shared" si="46"/>
        <v>3.08</v>
      </c>
      <c r="M269" s="5">
        <f t="shared" si="46"/>
        <v>3.07</v>
      </c>
      <c r="N269" s="5">
        <f t="shared" si="46"/>
        <v>2.99</v>
      </c>
      <c r="O269" s="5">
        <f t="shared" si="46"/>
        <v>2.91</v>
      </c>
      <c r="P269" s="5">
        <f t="shared" si="46"/>
        <v>2.81</v>
      </c>
      <c r="Q269" s="5">
        <f t="shared" si="46"/>
        <v>2.54</v>
      </c>
      <c r="R269" s="5">
        <f t="shared" si="46"/>
        <v>2.17</v>
      </c>
      <c r="S269" s="5">
        <f t="shared" si="45"/>
        <v>2.05</v>
      </c>
      <c r="T269" s="5">
        <f t="shared" si="45"/>
        <v>1.79</v>
      </c>
      <c r="U269" s="5">
        <f t="shared" si="45"/>
        <v>1.53</v>
      </c>
      <c r="V269" s="5">
        <f t="shared" si="45"/>
        <v>1.49</v>
      </c>
      <c r="W269" s="5">
        <f t="shared" si="45"/>
        <v>1.38</v>
      </c>
      <c r="X269" s="5">
        <f t="shared" si="45"/>
        <v>1.32</v>
      </c>
      <c r="Y269" s="5">
        <f t="shared" si="45"/>
        <v>1.26</v>
      </c>
      <c r="Z269" s="5">
        <f t="shared" si="45"/>
        <v>1.25</v>
      </c>
      <c r="AA269" s="5">
        <f t="shared" si="45"/>
        <v>1.21</v>
      </c>
      <c r="AB269" s="5">
        <f t="shared" si="45"/>
        <v>1.16</v>
      </c>
      <c r="AC269" s="5">
        <f t="shared" si="45"/>
        <v>1.11</v>
      </c>
      <c r="AD269" s="5">
        <f t="shared" si="45"/>
        <v>1.11</v>
      </c>
      <c r="AE269" s="5">
        <f t="shared" si="45"/>
        <v>1.08</v>
      </c>
      <c r="AF269" s="5">
        <f t="shared" si="45"/>
        <v>1.07</v>
      </c>
      <c r="AG269" s="5">
        <f t="shared" si="45"/>
        <v>1.06</v>
      </c>
      <c r="AH269" s="5">
        <f t="shared" si="37"/>
        <v>1.04</v>
      </c>
      <c r="AI269" s="5">
        <f t="shared" si="37"/>
        <v>1.02</v>
      </c>
      <c r="AJ269" s="5">
        <f t="shared" si="37"/>
        <v>1.02</v>
      </c>
    </row>
    <row r="270" spans="1:36">
      <c r="A270" t="str">
        <f>"primary_archetype_"&amp;TEXT(ROUND(Table213[[#This Row],[2016]],1),"0.0")</f>
        <v>primary_archetype_3.5</v>
      </c>
      <c r="B270" s="5">
        <f t="shared" si="44"/>
        <v>3.5</v>
      </c>
      <c r="C270" s="5">
        <f t="shared" si="46"/>
        <v>3.5</v>
      </c>
      <c r="D270" s="5">
        <f t="shared" si="46"/>
        <v>3.5</v>
      </c>
      <c r="E270" s="5">
        <f t="shared" si="46"/>
        <v>3.45</v>
      </c>
      <c r="F270" s="5">
        <f t="shared" si="46"/>
        <v>3.33</v>
      </c>
      <c r="G270" s="5">
        <f t="shared" si="46"/>
        <v>3.35</v>
      </c>
      <c r="H270" s="5">
        <f t="shared" si="46"/>
        <v>3.3</v>
      </c>
      <c r="I270" s="5">
        <f t="shared" si="46"/>
        <v>3.2</v>
      </c>
      <c r="J270" s="5">
        <f t="shared" si="46"/>
        <v>3.14</v>
      </c>
      <c r="K270" s="5">
        <f t="shared" si="46"/>
        <v>3.09</v>
      </c>
      <c r="L270" s="5">
        <f t="shared" si="46"/>
        <v>3</v>
      </c>
      <c r="M270" s="5">
        <f t="shared" si="46"/>
        <v>2.99</v>
      </c>
      <c r="N270" s="5">
        <f t="shared" si="46"/>
        <v>2.91</v>
      </c>
      <c r="O270" s="5">
        <f t="shared" si="46"/>
        <v>2.84</v>
      </c>
      <c r="P270" s="5">
        <f t="shared" si="46"/>
        <v>2.75</v>
      </c>
      <c r="Q270" s="5">
        <f t="shared" si="46"/>
        <v>2.48</v>
      </c>
      <c r="R270" s="5">
        <f t="shared" si="46"/>
        <v>2.12</v>
      </c>
      <c r="S270" s="5">
        <f t="shared" si="45"/>
        <v>2.01</v>
      </c>
      <c r="T270" s="5">
        <f t="shared" si="45"/>
        <v>1.76</v>
      </c>
      <c r="U270" s="5">
        <f t="shared" si="45"/>
        <v>1.51</v>
      </c>
      <c r="V270" s="5">
        <f t="shared" si="45"/>
        <v>1.47</v>
      </c>
      <c r="W270" s="5">
        <f t="shared" si="45"/>
        <v>1.36</v>
      </c>
      <c r="X270" s="5">
        <f t="shared" si="45"/>
        <v>1.31</v>
      </c>
      <c r="Y270" s="5">
        <f t="shared" si="45"/>
        <v>1.25</v>
      </c>
      <c r="Z270" s="5">
        <f t="shared" si="45"/>
        <v>1.24</v>
      </c>
      <c r="AA270" s="5">
        <f t="shared" si="45"/>
        <v>1.21</v>
      </c>
      <c r="AB270" s="5">
        <f t="shared" si="45"/>
        <v>1.15</v>
      </c>
      <c r="AC270" s="5">
        <f t="shared" si="45"/>
        <v>1.11</v>
      </c>
      <c r="AD270" s="5">
        <f t="shared" si="45"/>
        <v>1.1</v>
      </c>
      <c r="AE270" s="5">
        <f t="shared" si="45"/>
        <v>1.07</v>
      </c>
      <c r="AF270" s="5">
        <f t="shared" si="45"/>
        <v>1.07</v>
      </c>
      <c r="AG270" s="5">
        <f t="shared" si="45"/>
        <v>1.06</v>
      </c>
      <c r="AH270" s="5">
        <f t="shared" si="37"/>
        <v>1.04</v>
      </c>
      <c r="AI270" s="5">
        <f t="shared" si="37"/>
        <v>1.02</v>
      </c>
      <c r="AJ270" s="5">
        <f t="shared" si="37"/>
        <v>1.02</v>
      </c>
    </row>
    <row r="271" spans="1:36">
      <c r="A271" t="str">
        <f>"primary_archetype_"&amp;TEXT(ROUND(Table213[[#This Row],[2016]],1),"0.0")</f>
        <v>primary_archetype_3.4</v>
      </c>
      <c r="B271" s="5">
        <f t="shared" si="44"/>
        <v>3.4</v>
      </c>
      <c r="C271" s="5">
        <f t="shared" si="46"/>
        <v>3.4</v>
      </c>
      <c r="D271" s="5">
        <f t="shared" si="46"/>
        <v>3.4</v>
      </c>
      <c r="E271" s="5">
        <f t="shared" si="46"/>
        <v>3.35</v>
      </c>
      <c r="F271" s="5">
        <f t="shared" si="46"/>
        <v>3.24</v>
      </c>
      <c r="G271" s="5">
        <f t="shared" si="46"/>
        <v>3.26</v>
      </c>
      <c r="H271" s="5">
        <f t="shared" si="46"/>
        <v>3.21</v>
      </c>
      <c r="I271" s="5">
        <f t="shared" si="46"/>
        <v>3.11</v>
      </c>
      <c r="J271" s="5">
        <f t="shared" si="46"/>
        <v>3.06</v>
      </c>
      <c r="K271" s="5">
        <f t="shared" si="46"/>
        <v>3</v>
      </c>
      <c r="L271" s="5">
        <f t="shared" si="46"/>
        <v>2.92</v>
      </c>
      <c r="M271" s="5">
        <f t="shared" si="46"/>
        <v>2.91</v>
      </c>
      <c r="N271" s="5">
        <f t="shared" si="46"/>
        <v>2.84</v>
      </c>
      <c r="O271" s="5">
        <f t="shared" si="46"/>
        <v>2.76</v>
      </c>
      <c r="P271" s="5">
        <f t="shared" si="46"/>
        <v>2.68</v>
      </c>
      <c r="Q271" s="5">
        <f t="shared" si="46"/>
        <v>2.42</v>
      </c>
      <c r="R271" s="5">
        <f t="shared" si="46"/>
        <v>2.08</v>
      </c>
      <c r="S271" s="5">
        <f t="shared" si="45"/>
        <v>1.97</v>
      </c>
      <c r="T271" s="5">
        <f t="shared" si="45"/>
        <v>1.73</v>
      </c>
      <c r="U271" s="5">
        <f t="shared" si="45"/>
        <v>1.49</v>
      </c>
      <c r="V271" s="5">
        <f t="shared" si="45"/>
        <v>1.46</v>
      </c>
      <c r="W271" s="5">
        <f t="shared" si="45"/>
        <v>1.35</v>
      </c>
      <c r="X271" s="5">
        <f t="shared" si="45"/>
        <v>1.3</v>
      </c>
      <c r="Y271" s="5">
        <f t="shared" si="45"/>
        <v>1.24</v>
      </c>
      <c r="Z271" s="5">
        <f t="shared" si="45"/>
        <v>1.23</v>
      </c>
      <c r="AA271" s="5">
        <f t="shared" si="45"/>
        <v>1.2</v>
      </c>
      <c r="AB271" s="5">
        <f t="shared" si="45"/>
        <v>1.15</v>
      </c>
      <c r="AC271" s="5">
        <f t="shared" si="45"/>
        <v>1.11</v>
      </c>
      <c r="AD271" s="5">
        <f t="shared" si="45"/>
        <v>1.1</v>
      </c>
      <c r="AE271" s="5">
        <f t="shared" si="45"/>
        <v>1.07</v>
      </c>
      <c r="AF271" s="5">
        <f t="shared" si="45"/>
        <v>1.06</v>
      </c>
      <c r="AG271" s="5">
        <f t="shared" si="45"/>
        <v>1.06</v>
      </c>
      <c r="AH271" s="5">
        <f t="shared" si="37"/>
        <v>1.04</v>
      </c>
      <c r="AI271" s="5">
        <f t="shared" si="37"/>
        <v>1.02</v>
      </c>
      <c r="AJ271" s="5">
        <f t="shared" si="37"/>
        <v>1.02</v>
      </c>
    </row>
    <row r="272" spans="1:36">
      <c r="A272" t="str">
        <f>"primary_archetype_"&amp;TEXT(ROUND(Table213[[#This Row],[2016]],1),"0.0")</f>
        <v>primary_archetype_3.3</v>
      </c>
      <c r="B272" s="5">
        <f t="shared" si="44"/>
        <v>3.3</v>
      </c>
      <c r="C272" s="5">
        <f t="shared" si="46"/>
        <v>3.3</v>
      </c>
      <c r="D272" s="5">
        <f t="shared" si="46"/>
        <v>3.3</v>
      </c>
      <c r="E272" s="5">
        <f t="shared" si="46"/>
        <v>3.26</v>
      </c>
      <c r="F272" s="5">
        <f t="shared" si="46"/>
        <v>3.15</v>
      </c>
      <c r="G272" s="5">
        <f t="shared" si="46"/>
        <v>3.16</v>
      </c>
      <c r="H272" s="5">
        <f t="shared" si="46"/>
        <v>3.12</v>
      </c>
      <c r="I272" s="5">
        <f t="shared" si="46"/>
        <v>3.02</v>
      </c>
      <c r="J272" s="5">
        <f t="shared" si="46"/>
        <v>2.97</v>
      </c>
      <c r="K272" s="5">
        <f t="shared" si="46"/>
        <v>2.92</v>
      </c>
      <c r="L272" s="5">
        <f t="shared" si="46"/>
        <v>2.84</v>
      </c>
      <c r="M272" s="5">
        <f t="shared" si="46"/>
        <v>2.83</v>
      </c>
      <c r="N272" s="5">
        <f t="shared" si="46"/>
        <v>2.76</v>
      </c>
      <c r="O272" s="5">
        <f t="shared" si="46"/>
        <v>2.69</v>
      </c>
      <c r="P272" s="5">
        <f t="shared" si="46"/>
        <v>2.61</v>
      </c>
      <c r="Q272" s="5">
        <f t="shared" si="46"/>
        <v>2.36</v>
      </c>
      <c r="R272" s="5">
        <f t="shared" si="46"/>
        <v>2.03</v>
      </c>
      <c r="S272" s="5">
        <f t="shared" si="45"/>
        <v>1.93</v>
      </c>
      <c r="T272" s="5">
        <f t="shared" si="45"/>
        <v>1.7</v>
      </c>
      <c r="U272" s="5">
        <f t="shared" si="45"/>
        <v>1.47</v>
      </c>
      <c r="V272" s="5">
        <f t="shared" si="45"/>
        <v>1.44</v>
      </c>
      <c r="W272" s="5">
        <f t="shared" si="45"/>
        <v>1.34</v>
      </c>
      <c r="X272" s="5">
        <f t="shared" si="45"/>
        <v>1.29</v>
      </c>
      <c r="Y272" s="5">
        <f t="shared" si="45"/>
        <v>1.23</v>
      </c>
      <c r="Z272" s="5">
        <f t="shared" si="45"/>
        <v>1.22</v>
      </c>
      <c r="AA272" s="5">
        <f t="shared" si="45"/>
        <v>1.19</v>
      </c>
      <c r="AB272" s="5">
        <f t="shared" si="45"/>
        <v>1.14</v>
      </c>
      <c r="AC272" s="5">
        <f t="shared" si="45"/>
        <v>1.1</v>
      </c>
      <c r="AD272" s="5">
        <f t="shared" si="45"/>
        <v>1.1</v>
      </c>
      <c r="AE272" s="5">
        <f t="shared" si="45"/>
        <v>1.07</v>
      </c>
      <c r="AF272" s="5">
        <f t="shared" si="45"/>
        <v>1.06</v>
      </c>
      <c r="AG272" s="5">
        <f t="shared" si="45"/>
        <v>1.06</v>
      </c>
      <c r="AH272" s="5">
        <f t="shared" si="37"/>
        <v>1.04</v>
      </c>
      <c r="AI272" s="5">
        <f t="shared" si="37"/>
        <v>1.02</v>
      </c>
      <c r="AJ272" s="5">
        <f t="shared" si="37"/>
        <v>1.02</v>
      </c>
    </row>
    <row r="273" spans="1:36">
      <c r="A273" t="str">
        <f>"primary_archetype_"&amp;TEXT(ROUND(Table213[[#This Row],[2016]],1),"0.0")</f>
        <v>primary_archetype_3.2</v>
      </c>
      <c r="B273" s="5">
        <f t="shared" si="44"/>
        <v>3.2</v>
      </c>
      <c r="C273" s="5">
        <f t="shared" si="46"/>
        <v>3.2</v>
      </c>
      <c r="D273" s="5">
        <f t="shared" si="46"/>
        <v>3.2</v>
      </c>
      <c r="E273" s="5">
        <f t="shared" si="46"/>
        <v>3.16</v>
      </c>
      <c r="F273" s="5">
        <f t="shared" si="46"/>
        <v>3.05</v>
      </c>
      <c r="G273" s="5">
        <f t="shared" si="46"/>
        <v>3.07</v>
      </c>
      <c r="H273" s="5">
        <f t="shared" si="46"/>
        <v>3.02</v>
      </c>
      <c r="I273" s="5">
        <f t="shared" si="46"/>
        <v>2.94</v>
      </c>
      <c r="J273" s="5">
        <f t="shared" si="46"/>
        <v>2.89</v>
      </c>
      <c r="K273" s="5">
        <f t="shared" si="46"/>
        <v>2.84</v>
      </c>
      <c r="L273" s="5">
        <f t="shared" si="46"/>
        <v>2.76</v>
      </c>
      <c r="M273" s="5">
        <f t="shared" si="46"/>
        <v>2.75</v>
      </c>
      <c r="N273" s="5">
        <f t="shared" si="46"/>
        <v>2.68</v>
      </c>
      <c r="O273" s="5">
        <f t="shared" si="46"/>
        <v>2.62</v>
      </c>
      <c r="P273" s="5">
        <f t="shared" si="46"/>
        <v>2.54</v>
      </c>
      <c r="Q273" s="5">
        <f t="shared" si="46"/>
        <v>2.3</v>
      </c>
      <c r="R273" s="5">
        <f t="shared" si="46"/>
        <v>1.99</v>
      </c>
      <c r="S273" s="5">
        <f t="shared" si="45"/>
        <v>1.89</v>
      </c>
      <c r="T273" s="5">
        <f t="shared" si="45"/>
        <v>1.67</v>
      </c>
      <c r="U273" s="5">
        <f t="shared" si="45"/>
        <v>1.45</v>
      </c>
      <c r="V273" s="5">
        <f t="shared" si="45"/>
        <v>1.42</v>
      </c>
      <c r="W273" s="5">
        <f t="shared" si="45"/>
        <v>1.32</v>
      </c>
      <c r="X273" s="5">
        <f t="shared" si="45"/>
        <v>1.28</v>
      </c>
      <c r="Y273" s="5">
        <f t="shared" si="45"/>
        <v>1.22</v>
      </c>
      <c r="Z273" s="5">
        <f t="shared" si="45"/>
        <v>1.22</v>
      </c>
      <c r="AA273" s="5">
        <f t="shared" si="45"/>
        <v>1.18</v>
      </c>
      <c r="AB273" s="5">
        <f t="shared" si="45"/>
        <v>1.14</v>
      </c>
      <c r="AC273" s="5">
        <f t="shared" si="45"/>
        <v>1.1</v>
      </c>
      <c r="AD273" s="5">
        <f t="shared" si="45"/>
        <v>1.09</v>
      </c>
      <c r="AE273" s="5">
        <f t="shared" si="45"/>
        <v>1.07</v>
      </c>
      <c r="AF273" s="5">
        <f t="shared" si="45"/>
        <v>1.06</v>
      </c>
      <c r="AG273" s="5">
        <f t="shared" si="45"/>
        <v>1.06</v>
      </c>
      <c r="AH273" s="5">
        <f t="shared" si="37"/>
        <v>1.04</v>
      </c>
      <c r="AI273" s="5">
        <f t="shared" si="37"/>
        <v>1.03</v>
      </c>
      <c r="AJ273" s="5">
        <f t="shared" si="37"/>
        <v>1.02</v>
      </c>
    </row>
    <row r="274" spans="1:36">
      <c r="A274" t="str">
        <f>"primary_archetype_"&amp;TEXT(ROUND(Table213[[#This Row],[2016]],1),"0.0")</f>
        <v>primary_archetype_3.1</v>
      </c>
      <c r="B274" s="5">
        <f t="shared" si="44"/>
        <v>3.1</v>
      </c>
      <c r="C274" s="5">
        <f t="shared" si="46"/>
        <v>3.1</v>
      </c>
      <c r="D274" s="5">
        <f t="shared" si="46"/>
        <v>3.1</v>
      </c>
      <c r="E274" s="5">
        <f t="shared" si="46"/>
        <v>3.06</v>
      </c>
      <c r="F274" s="5">
        <f t="shared" si="46"/>
        <v>2.96</v>
      </c>
      <c r="G274" s="5">
        <f t="shared" si="46"/>
        <v>2.97</v>
      </c>
      <c r="H274" s="5">
        <f t="shared" si="46"/>
        <v>2.93</v>
      </c>
      <c r="I274" s="5">
        <f t="shared" si="46"/>
        <v>2.85</v>
      </c>
      <c r="J274" s="5">
        <f t="shared" si="46"/>
        <v>2.8</v>
      </c>
      <c r="K274" s="5">
        <f t="shared" si="46"/>
        <v>2.75</v>
      </c>
      <c r="L274" s="5">
        <f t="shared" si="46"/>
        <v>2.68</v>
      </c>
      <c r="M274" s="5">
        <f t="shared" si="46"/>
        <v>2.67</v>
      </c>
      <c r="N274" s="5">
        <f t="shared" si="46"/>
        <v>2.61</v>
      </c>
      <c r="O274" s="5">
        <f t="shared" si="46"/>
        <v>2.54</v>
      </c>
      <c r="P274" s="5">
        <f t="shared" si="46"/>
        <v>2.47</v>
      </c>
      <c r="Q274" s="5">
        <f t="shared" si="46"/>
        <v>2.25</v>
      </c>
      <c r="R274" s="5">
        <f t="shared" si="46"/>
        <v>1.95</v>
      </c>
      <c r="S274" s="5">
        <f t="shared" si="45"/>
        <v>1.85</v>
      </c>
      <c r="T274" s="5">
        <f t="shared" si="45"/>
        <v>1.64</v>
      </c>
      <c r="U274" s="5">
        <f t="shared" si="45"/>
        <v>1.43</v>
      </c>
      <c r="V274" s="5">
        <f t="shared" si="45"/>
        <v>1.4</v>
      </c>
      <c r="W274" s="5">
        <f t="shared" si="45"/>
        <v>1.31</v>
      </c>
      <c r="X274" s="5">
        <f t="shared" si="45"/>
        <v>1.26</v>
      </c>
      <c r="Y274" s="5">
        <f t="shared" si="45"/>
        <v>1.22</v>
      </c>
      <c r="Z274" s="5">
        <f t="shared" si="45"/>
        <v>1.21</v>
      </c>
      <c r="AA274" s="5">
        <f t="shared" si="45"/>
        <v>1.18</v>
      </c>
      <c r="AB274" s="5">
        <f t="shared" si="45"/>
        <v>1.13</v>
      </c>
      <c r="AC274" s="5">
        <f t="shared" si="45"/>
        <v>1.1</v>
      </c>
      <c r="AD274" s="5">
        <f t="shared" si="45"/>
        <v>1.09</v>
      </c>
      <c r="AE274" s="5">
        <f t="shared" si="45"/>
        <v>1.07</v>
      </c>
      <c r="AF274" s="5">
        <f t="shared" si="45"/>
        <v>1.06</v>
      </c>
      <c r="AG274" s="5">
        <f t="shared" si="45"/>
        <v>1.06</v>
      </c>
      <c r="AH274" s="5">
        <f t="shared" si="37"/>
        <v>1.04</v>
      </c>
      <c r="AI274" s="5">
        <f t="shared" si="37"/>
        <v>1.03</v>
      </c>
      <c r="AJ274" s="5">
        <f t="shared" si="37"/>
        <v>1.02</v>
      </c>
    </row>
    <row r="275" spans="1:36">
      <c r="A275" t="str">
        <f>"primary_archetype_"&amp;TEXT(ROUND(Table213[[#This Row],[2016]],1),"0.0")</f>
        <v>primary_archetype_3.0</v>
      </c>
      <c r="B275" s="5">
        <f t="shared" si="44"/>
        <v>3</v>
      </c>
      <c r="C275" s="5">
        <f t="shared" si="46"/>
        <v>3</v>
      </c>
      <c r="D275" s="5">
        <f t="shared" si="46"/>
        <v>3</v>
      </c>
      <c r="E275" s="5">
        <f t="shared" si="46"/>
        <v>2.96</v>
      </c>
      <c r="F275" s="5">
        <f t="shared" si="46"/>
        <v>2.87</v>
      </c>
      <c r="G275" s="5">
        <f t="shared" si="46"/>
        <v>2.88</v>
      </c>
      <c r="H275" s="5">
        <f t="shared" si="46"/>
        <v>2.84</v>
      </c>
      <c r="I275" s="5">
        <f t="shared" si="46"/>
        <v>2.76</v>
      </c>
      <c r="J275" s="5">
        <f t="shared" si="46"/>
        <v>2.72</v>
      </c>
      <c r="K275" s="5">
        <f t="shared" si="46"/>
        <v>2.67</v>
      </c>
      <c r="L275" s="5">
        <f t="shared" si="46"/>
        <v>2.6</v>
      </c>
      <c r="M275" s="5">
        <f t="shared" si="46"/>
        <v>2.59</v>
      </c>
      <c r="N275" s="5">
        <f t="shared" si="46"/>
        <v>2.53</v>
      </c>
      <c r="O275" s="5">
        <f t="shared" si="46"/>
        <v>2.47</v>
      </c>
      <c r="P275" s="5">
        <f t="shared" si="46"/>
        <v>2.4</v>
      </c>
      <c r="Q275" s="5">
        <f t="shared" si="46"/>
        <v>2.19</v>
      </c>
      <c r="R275" s="5">
        <f t="shared" si="46"/>
        <v>1.9</v>
      </c>
      <c r="S275" s="5">
        <f t="shared" si="45"/>
        <v>1.81</v>
      </c>
      <c r="T275" s="5">
        <f t="shared" si="45"/>
        <v>1.61</v>
      </c>
      <c r="U275" s="5">
        <f t="shared" si="45"/>
        <v>1.41</v>
      </c>
      <c r="V275" s="5">
        <f t="shared" si="45"/>
        <v>1.38</v>
      </c>
      <c r="W275" s="5">
        <f t="shared" si="45"/>
        <v>1.3</v>
      </c>
      <c r="X275" s="5">
        <f t="shared" si="45"/>
        <v>1.25</v>
      </c>
      <c r="Y275" s="5">
        <f t="shared" si="45"/>
        <v>1.21</v>
      </c>
      <c r="Z275" s="5">
        <f t="shared" si="45"/>
        <v>1.2</v>
      </c>
      <c r="AA275" s="5">
        <f t="shared" si="45"/>
        <v>1.17</v>
      </c>
      <c r="AB275" s="5">
        <f t="shared" si="45"/>
        <v>1.13</v>
      </c>
      <c r="AC275" s="5">
        <f t="shared" si="45"/>
        <v>1.09</v>
      </c>
      <c r="AD275" s="5">
        <f t="shared" si="45"/>
        <v>1.09</v>
      </c>
      <c r="AE275" s="5">
        <f t="shared" si="45"/>
        <v>1.07</v>
      </c>
      <c r="AF275" s="5">
        <f t="shared" si="45"/>
        <v>1.06</v>
      </c>
      <c r="AG275" s="5">
        <f t="shared" si="45"/>
        <v>1.05</v>
      </c>
      <c r="AH275" s="5">
        <f t="shared" ref="AH275:AJ295" si="47">MROUND((($B275-$AH$2)*((AH$2-$AH$2)/($B$2-$AH$2)))+$AH$2,0.01)</f>
        <v>1.04</v>
      </c>
      <c r="AI275" s="5">
        <f t="shared" si="47"/>
        <v>1.03</v>
      </c>
      <c r="AJ275" s="5">
        <f t="shared" si="47"/>
        <v>1.02</v>
      </c>
    </row>
    <row r="276" spans="1:36">
      <c r="A276" t="str">
        <f>"primary_archetype_"&amp;TEXT(ROUND(Table213[[#This Row],[2016]],1),"0.0")</f>
        <v>primary_archetype_2.9</v>
      </c>
      <c r="B276" s="5">
        <f t="shared" si="44"/>
        <v>2.9</v>
      </c>
      <c r="C276" s="5">
        <f t="shared" si="46"/>
        <v>2.9</v>
      </c>
      <c r="D276" s="5">
        <f t="shared" si="46"/>
        <v>2.9</v>
      </c>
      <c r="E276" s="5">
        <f t="shared" si="46"/>
        <v>2.86</v>
      </c>
      <c r="F276" s="5">
        <f t="shared" si="46"/>
        <v>2.77</v>
      </c>
      <c r="G276" s="5">
        <f t="shared" si="46"/>
        <v>2.79</v>
      </c>
      <c r="H276" s="5">
        <f t="shared" si="46"/>
        <v>2.75</v>
      </c>
      <c r="I276" s="5">
        <f t="shared" si="46"/>
        <v>2.67</v>
      </c>
      <c r="J276" s="5">
        <f t="shared" si="46"/>
        <v>2.63</v>
      </c>
      <c r="K276" s="5">
        <f t="shared" si="46"/>
        <v>2.59</v>
      </c>
      <c r="L276" s="5">
        <f t="shared" si="46"/>
        <v>2.52</v>
      </c>
      <c r="M276" s="5">
        <f t="shared" si="46"/>
        <v>2.51</v>
      </c>
      <c r="N276" s="5">
        <f t="shared" si="46"/>
        <v>2.46</v>
      </c>
      <c r="O276" s="5">
        <f t="shared" si="46"/>
        <v>2.4</v>
      </c>
      <c r="P276" s="5">
        <f t="shared" si="46"/>
        <v>2.33</v>
      </c>
      <c r="Q276" s="5">
        <f t="shared" si="46"/>
        <v>2.13</v>
      </c>
      <c r="R276" s="5">
        <f t="shared" si="46"/>
        <v>1.86</v>
      </c>
      <c r="S276" s="5">
        <f t="shared" si="45"/>
        <v>1.77</v>
      </c>
      <c r="T276" s="5">
        <f t="shared" si="45"/>
        <v>1.58</v>
      </c>
      <c r="U276" s="5">
        <f t="shared" si="45"/>
        <v>1.39</v>
      </c>
      <c r="V276" s="5">
        <f t="shared" si="45"/>
        <v>1.37</v>
      </c>
      <c r="W276" s="5">
        <f t="shared" si="45"/>
        <v>1.28</v>
      </c>
      <c r="X276" s="5">
        <f t="shared" si="45"/>
        <v>1.24</v>
      </c>
      <c r="Y276" s="5">
        <f t="shared" si="45"/>
        <v>1.2</v>
      </c>
      <c r="Z276" s="5">
        <f t="shared" si="45"/>
        <v>1.19</v>
      </c>
      <c r="AA276" s="5">
        <f t="shared" si="45"/>
        <v>1.16</v>
      </c>
      <c r="AB276" s="5">
        <f t="shared" si="45"/>
        <v>1.12</v>
      </c>
      <c r="AC276" s="5">
        <f t="shared" si="45"/>
        <v>1.09</v>
      </c>
      <c r="AD276" s="5">
        <f t="shared" si="45"/>
        <v>1.09</v>
      </c>
      <c r="AE276" s="5">
        <f t="shared" si="45"/>
        <v>1.06</v>
      </c>
      <c r="AF276" s="5">
        <f t="shared" si="45"/>
        <v>1.06</v>
      </c>
      <c r="AG276" s="5">
        <f t="shared" si="45"/>
        <v>1.05</v>
      </c>
      <c r="AH276" s="5">
        <f t="shared" si="47"/>
        <v>1.04</v>
      </c>
      <c r="AI276" s="5">
        <f t="shared" si="47"/>
        <v>1.03</v>
      </c>
      <c r="AJ276" s="5">
        <f t="shared" si="47"/>
        <v>1.02</v>
      </c>
    </row>
    <row r="277" spans="1:36">
      <c r="A277" t="str">
        <f>"primary_archetype_"&amp;TEXT(ROUND(Table213[[#This Row],[2016]],1),"0.0")</f>
        <v>primary_archetype_2.8</v>
      </c>
      <c r="B277" s="5">
        <f t="shared" si="44"/>
        <v>2.8</v>
      </c>
      <c r="C277" s="5">
        <f t="shared" si="46"/>
        <v>2.8</v>
      </c>
      <c r="D277" s="5">
        <f t="shared" si="46"/>
        <v>2.8</v>
      </c>
      <c r="E277" s="5">
        <f t="shared" si="46"/>
        <v>2.77</v>
      </c>
      <c r="F277" s="5">
        <f t="shared" si="46"/>
        <v>2.68</v>
      </c>
      <c r="G277" s="5">
        <f t="shared" si="46"/>
        <v>2.69</v>
      </c>
      <c r="H277" s="5">
        <f t="shared" si="46"/>
        <v>2.66</v>
      </c>
      <c r="I277" s="5">
        <f t="shared" si="46"/>
        <v>2.59</v>
      </c>
      <c r="J277" s="5">
        <f t="shared" si="46"/>
        <v>2.55</v>
      </c>
      <c r="K277" s="5">
        <f t="shared" si="46"/>
        <v>2.5</v>
      </c>
      <c r="L277" s="5">
        <f t="shared" si="46"/>
        <v>2.44</v>
      </c>
      <c r="M277" s="5">
        <f t="shared" si="46"/>
        <v>2.43</v>
      </c>
      <c r="N277" s="5">
        <f t="shared" si="46"/>
        <v>2.38</v>
      </c>
      <c r="O277" s="5">
        <f t="shared" si="46"/>
        <v>2.32</v>
      </c>
      <c r="P277" s="5">
        <f t="shared" si="46"/>
        <v>2.26</v>
      </c>
      <c r="Q277" s="5">
        <f t="shared" si="46"/>
        <v>2.07</v>
      </c>
      <c r="R277" s="5">
        <f t="shared" si="46"/>
        <v>1.81</v>
      </c>
      <c r="S277" s="5">
        <f t="shared" si="45"/>
        <v>1.73</v>
      </c>
      <c r="T277" s="5">
        <f t="shared" si="45"/>
        <v>1.55</v>
      </c>
      <c r="U277" s="5">
        <f t="shared" si="45"/>
        <v>1.38</v>
      </c>
      <c r="V277" s="5">
        <f t="shared" si="45"/>
        <v>1.35</v>
      </c>
      <c r="W277" s="5">
        <f t="shared" si="45"/>
        <v>1.27</v>
      </c>
      <c r="X277" s="5">
        <f t="shared" si="45"/>
        <v>1.23</v>
      </c>
      <c r="Y277" s="5">
        <f t="shared" si="45"/>
        <v>1.19</v>
      </c>
      <c r="Z277" s="5">
        <f t="shared" si="45"/>
        <v>1.18</v>
      </c>
      <c r="AA277" s="5">
        <f t="shared" si="45"/>
        <v>1.16</v>
      </c>
      <c r="AB277" s="5">
        <f t="shared" si="45"/>
        <v>1.12</v>
      </c>
      <c r="AC277" s="5">
        <f t="shared" si="45"/>
        <v>1.09</v>
      </c>
      <c r="AD277" s="5">
        <f t="shared" si="45"/>
        <v>1.08</v>
      </c>
      <c r="AE277" s="5">
        <f t="shared" si="45"/>
        <v>1.06</v>
      </c>
      <c r="AF277" s="5">
        <f t="shared" si="45"/>
        <v>1.06</v>
      </c>
      <c r="AG277" s="5">
        <f t="shared" si="45"/>
        <v>1.05</v>
      </c>
      <c r="AH277" s="5">
        <f t="shared" si="47"/>
        <v>1.04</v>
      </c>
      <c r="AI277" s="5">
        <f t="shared" si="47"/>
        <v>1.03</v>
      </c>
      <c r="AJ277" s="5">
        <f t="shared" si="47"/>
        <v>1.02</v>
      </c>
    </row>
    <row r="278" spans="1:36">
      <c r="A278" t="str">
        <f>"primary_archetype_"&amp;TEXT(ROUND(Table213[[#This Row],[2016]],1),"0.0")</f>
        <v>primary_archetype_2.7</v>
      </c>
      <c r="B278" s="5">
        <f t="shared" si="44"/>
        <v>2.7</v>
      </c>
      <c r="C278" s="5">
        <f t="shared" si="46"/>
        <v>2.7</v>
      </c>
      <c r="D278" s="5">
        <f t="shared" si="46"/>
        <v>2.7</v>
      </c>
      <c r="E278" s="5">
        <f t="shared" si="46"/>
        <v>2.67</v>
      </c>
      <c r="F278" s="5">
        <f t="shared" si="46"/>
        <v>2.59</v>
      </c>
      <c r="G278" s="5">
        <f t="shared" si="46"/>
        <v>2.6</v>
      </c>
      <c r="H278" s="5">
        <f t="shared" si="46"/>
        <v>2.56</v>
      </c>
      <c r="I278" s="5">
        <f t="shared" si="46"/>
        <v>2.5</v>
      </c>
      <c r="J278" s="5">
        <f t="shared" si="46"/>
        <v>2.46</v>
      </c>
      <c r="K278" s="5">
        <f t="shared" si="46"/>
        <v>2.42</v>
      </c>
      <c r="L278" s="5">
        <f t="shared" si="46"/>
        <v>2.36</v>
      </c>
      <c r="M278" s="5">
        <f t="shared" si="46"/>
        <v>2.35</v>
      </c>
      <c r="N278" s="5">
        <f t="shared" si="46"/>
        <v>2.3</v>
      </c>
      <c r="O278" s="5">
        <f t="shared" si="46"/>
        <v>2.25</v>
      </c>
      <c r="P278" s="5">
        <f t="shared" si="46"/>
        <v>2.19</v>
      </c>
      <c r="Q278" s="5">
        <f t="shared" si="46"/>
        <v>2.01</v>
      </c>
      <c r="R278" s="5">
        <f t="shared" si="46"/>
        <v>1.77</v>
      </c>
      <c r="S278" s="5">
        <f t="shared" si="45"/>
        <v>1.69</v>
      </c>
      <c r="T278" s="5">
        <f t="shared" si="45"/>
        <v>1.52</v>
      </c>
      <c r="U278" s="5">
        <f t="shared" si="45"/>
        <v>1.36</v>
      </c>
      <c r="V278" s="5">
        <f t="shared" si="45"/>
        <v>1.33</v>
      </c>
      <c r="W278" s="5">
        <f t="shared" si="45"/>
        <v>1.26</v>
      </c>
      <c r="X278" s="5">
        <f t="shared" si="45"/>
        <v>1.22</v>
      </c>
      <c r="Y278" s="5">
        <f t="shared" si="45"/>
        <v>1.18</v>
      </c>
      <c r="Z278" s="5">
        <f t="shared" si="45"/>
        <v>1.18</v>
      </c>
      <c r="AA278" s="5">
        <f t="shared" si="45"/>
        <v>1.15</v>
      </c>
      <c r="AB278" s="5">
        <f t="shared" si="45"/>
        <v>1.12</v>
      </c>
      <c r="AC278" s="5">
        <f t="shared" si="45"/>
        <v>1.09</v>
      </c>
      <c r="AD278" s="5">
        <f t="shared" si="45"/>
        <v>1.08</v>
      </c>
      <c r="AE278" s="5">
        <f t="shared" si="45"/>
        <v>1.06</v>
      </c>
      <c r="AF278" s="5">
        <f t="shared" si="45"/>
        <v>1.06</v>
      </c>
      <c r="AG278" s="5">
        <f t="shared" si="45"/>
        <v>1.05</v>
      </c>
      <c r="AH278" s="5">
        <f t="shared" si="47"/>
        <v>1.04</v>
      </c>
      <c r="AI278" s="5">
        <f t="shared" si="47"/>
        <v>1.03</v>
      </c>
      <c r="AJ278" s="5">
        <f t="shared" si="47"/>
        <v>1.02</v>
      </c>
    </row>
    <row r="279" spans="1:36">
      <c r="A279" t="str">
        <f>"primary_archetype_"&amp;TEXT(ROUND(Table213[[#This Row],[2016]],1),"0.0")</f>
        <v>primary_archetype_2.6</v>
      </c>
      <c r="B279" s="5">
        <f t="shared" si="44"/>
        <v>2.6</v>
      </c>
      <c r="C279" s="5">
        <f t="shared" si="46"/>
        <v>2.6</v>
      </c>
      <c r="D279" s="5">
        <f t="shared" si="46"/>
        <v>2.6</v>
      </c>
      <c r="E279" s="5">
        <f t="shared" si="46"/>
        <v>2.57</v>
      </c>
      <c r="F279" s="5">
        <f t="shared" si="46"/>
        <v>2.49</v>
      </c>
      <c r="G279" s="5">
        <f t="shared" si="46"/>
        <v>2.5</v>
      </c>
      <c r="H279" s="5">
        <f t="shared" si="46"/>
        <v>2.47</v>
      </c>
      <c r="I279" s="5">
        <f t="shared" si="46"/>
        <v>2.41</v>
      </c>
      <c r="J279" s="5">
        <f t="shared" si="46"/>
        <v>2.37</v>
      </c>
      <c r="K279" s="5">
        <f t="shared" si="46"/>
        <v>2.34</v>
      </c>
      <c r="L279" s="5">
        <f t="shared" si="46"/>
        <v>2.28</v>
      </c>
      <c r="M279" s="5">
        <f t="shared" si="46"/>
        <v>2.27</v>
      </c>
      <c r="N279" s="5">
        <f t="shared" si="46"/>
        <v>2.23</v>
      </c>
      <c r="O279" s="5">
        <f t="shared" si="46"/>
        <v>2.18</v>
      </c>
      <c r="P279" s="5">
        <f t="shared" si="46"/>
        <v>2.12</v>
      </c>
      <c r="Q279" s="5">
        <f t="shared" si="46"/>
        <v>1.95</v>
      </c>
      <c r="R279" s="5">
        <f t="shared" si="46"/>
        <v>1.73</v>
      </c>
      <c r="S279" s="5">
        <f t="shared" si="45"/>
        <v>1.65</v>
      </c>
      <c r="T279" s="5">
        <f t="shared" si="45"/>
        <v>1.5</v>
      </c>
      <c r="U279" s="5">
        <f t="shared" si="45"/>
        <v>1.34</v>
      </c>
      <c r="V279" s="5">
        <f t="shared" si="45"/>
        <v>1.31</v>
      </c>
      <c r="W279" s="5">
        <f t="shared" si="45"/>
        <v>1.24</v>
      </c>
      <c r="X279" s="5">
        <f t="shared" si="45"/>
        <v>1.21</v>
      </c>
      <c r="Y279" s="5">
        <f t="shared" si="45"/>
        <v>1.17</v>
      </c>
      <c r="Z279" s="5">
        <f t="shared" si="45"/>
        <v>1.17</v>
      </c>
      <c r="AA279" s="5">
        <f t="shared" si="45"/>
        <v>1.14</v>
      </c>
      <c r="AB279" s="5">
        <f t="shared" si="45"/>
        <v>1.11</v>
      </c>
      <c r="AC279" s="5">
        <f t="shared" si="45"/>
        <v>1.08</v>
      </c>
      <c r="AD279" s="5">
        <f t="shared" si="45"/>
        <v>1.08</v>
      </c>
      <c r="AE279" s="5">
        <f t="shared" si="45"/>
        <v>1.06</v>
      </c>
      <c r="AF279" s="5">
        <f t="shared" si="45"/>
        <v>1.06</v>
      </c>
      <c r="AG279" s="5">
        <f t="shared" si="45"/>
        <v>1.05</v>
      </c>
      <c r="AH279" s="5">
        <f t="shared" si="47"/>
        <v>1.04</v>
      </c>
      <c r="AI279" s="5">
        <f t="shared" si="47"/>
        <v>1.03</v>
      </c>
      <c r="AJ279" s="5">
        <f t="shared" si="47"/>
        <v>1.02</v>
      </c>
    </row>
    <row r="280" spans="1:36">
      <c r="A280" t="str">
        <f>"primary_archetype_"&amp;TEXT(ROUND(Table213[[#This Row],[2016]],1),"0.0")</f>
        <v>primary_archetype_2.5</v>
      </c>
      <c r="B280" s="5">
        <f t="shared" si="44"/>
        <v>2.5</v>
      </c>
      <c r="C280" s="5">
        <f t="shared" si="46"/>
        <v>2.5</v>
      </c>
      <c r="D280" s="5">
        <f t="shared" si="46"/>
        <v>2.5</v>
      </c>
      <c r="E280" s="5">
        <f t="shared" si="46"/>
        <v>2.47</v>
      </c>
      <c r="F280" s="5">
        <f t="shared" si="46"/>
        <v>2.4</v>
      </c>
      <c r="G280" s="5">
        <f t="shared" si="46"/>
        <v>2.41</v>
      </c>
      <c r="H280" s="5">
        <f t="shared" si="46"/>
        <v>2.38</v>
      </c>
      <c r="I280" s="5">
        <f t="shared" si="46"/>
        <v>2.32</v>
      </c>
      <c r="J280" s="5">
        <f t="shared" si="46"/>
        <v>2.29</v>
      </c>
      <c r="K280" s="5">
        <f t="shared" si="46"/>
        <v>2.25</v>
      </c>
      <c r="L280" s="5">
        <f t="shared" si="46"/>
        <v>2.2</v>
      </c>
      <c r="M280" s="5">
        <f t="shared" si="46"/>
        <v>2.19</v>
      </c>
      <c r="N280" s="5">
        <f t="shared" si="46"/>
        <v>2.15</v>
      </c>
      <c r="O280" s="5">
        <f t="shared" si="46"/>
        <v>2.11</v>
      </c>
      <c r="P280" s="5">
        <f t="shared" si="46"/>
        <v>2.05</v>
      </c>
      <c r="Q280" s="5">
        <f t="shared" si="46"/>
        <v>1.89</v>
      </c>
      <c r="R280" s="5">
        <f t="shared" si="46"/>
        <v>1.68</v>
      </c>
      <c r="S280" s="5">
        <f t="shared" si="45"/>
        <v>1.61</v>
      </c>
      <c r="T280" s="5">
        <f t="shared" si="45"/>
        <v>1.47</v>
      </c>
      <c r="U280" s="5">
        <f t="shared" si="45"/>
        <v>1.32</v>
      </c>
      <c r="V280" s="5">
        <f t="shared" si="45"/>
        <v>1.3</v>
      </c>
      <c r="W280" s="5">
        <f t="shared" si="45"/>
        <v>1.23</v>
      </c>
      <c r="X280" s="5">
        <f t="shared" si="45"/>
        <v>1.2</v>
      </c>
      <c r="Y280" s="5">
        <f t="shared" si="45"/>
        <v>1.16</v>
      </c>
      <c r="Z280" s="5">
        <f t="shared" si="45"/>
        <v>1.16</v>
      </c>
      <c r="AA280" s="5">
        <f t="shared" si="45"/>
        <v>1.14</v>
      </c>
      <c r="AB280" s="5">
        <f t="shared" si="45"/>
        <v>1.11</v>
      </c>
      <c r="AC280" s="5">
        <f t="shared" si="45"/>
        <v>1.08</v>
      </c>
      <c r="AD280" s="5">
        <f t="shared" si="45"/>
        <v>1.08</v>
      </c>
      <c r="AE280" s="5">
        <f t="shared" si="45"/>
        <v>1.06</v>
      </c>
      <c r="AF280" s="5">
        <f t="shared" si="45"/>
        <v>1.05</v>
      </c>
      <c r="AG280" s="5">
        <f t="shared" si="45"/>
        <v>1.05</v>
      </c>
      <c r="AH280" s="5">
        <f t="shared" si="47"/>
        <v>1.04</v>
      </c>
      <c r="AI280" s="5">
        <f t="shared" si="47"/>
        <v>1.03</v>
      </c>
      <c r="AJ280" s="5">
        <f t="shared" si="47"/>
        <v>1.03</v>
      </c>
    </row>
    <row r="281" spans="1:36">
      <c r="A281" t="str">
        <f>"primary_archetype_"&amp;TEXT(ROUND(Table213[[#This Row],[2016]],1),"0.0")</f>
        <v>primary_archetype_2.4</v>
      </c>
      <c r="B281" s="5">
        <f t="shared" si="44"/>
        <v>2.4</v>
      </c>
      <c r="C281" s="5">
        <f t="shared" si="46"/>
        <v>2.4</v>
      </c>
      <c r="D281" s="5">
        <f t="shared" si="46"/>
        <v>2.4</v>
      </c>
      <c r="E281" s="5">
        <f t="shared" si="46"/>
        <v>2.37</v>
      </c>
      <c r="F281" s="5">
        <f t="shared" si="46"/>
        <v>2.31</v>
      </c>
      <c r="G281" s="5">
        <f t="shared" si="46"/>
        <v>2.32</v>
      </c>
      <c r="H281" s="5">
        <f t="shared" si="46"/>
        <v>2.29</v>
      </c>
      <c r="I281" s="5">
        <f t="shared" si="46"/>
        <v>2.23</v>
      </c>
      <c r="J281" s="5">
        <f t="shared" si="46"/>
        <v>2.2</v>
      </c>
      <c r="K281" s="5">
        <f t="shared" si="46"/>
        <v>2.17</v>
      </c>
      <c r="L281" s="5">
        <f t="shared" si="46"/>
        <v>2.12</v>
      </c>
      <c r="M281" s="5">
        <f t="shared" si="46"/>
        <v>2.12</v>
      </c>
      <c r="N281" s="5">
        <f t="shared" si="46"/>
        <v>2.07</v>
      </c>
      <c r="O281" s="5">
        <f t="shared" si="46"/>
        <v>2.03</v>
      </c>
      <c r="P281" s="5">
        <f t="shared" si="46"/>
        <v>1.98</v>
      </c>
      <c r="Q281" s="5">
        <f t="shared" si="46"/>
        <v>1.84</v>
      </c>
      <c r="R281" s="5">
        <f t="shared" si="46"/>
        <v>1.64</v>
      </c>
      <c r="S281" s="5">
        <f t="shared" si="45"/>
        <v>1.57</v>
      </c>
      <c r="T281" s="5">
        <f t="shared" si="45"/>
        <v>1.44</v>
      </c>
      <c r="U281" s="5">
        <f t="shared" si="45"/>
        <v>1.3</v>
      </c>
      <c r="V281" s="5">
        <f t="shared" si="45"/>
        <v>1.28</v>
      </c>
      <c r="W281" s="5">
        <f t="shared" si="45"/>
        <v>1.22</v>
      </c>
      <c r="X281" s="5">
        <f t="shared" si="45"/>
        <v>1.19</v>
      </c>
      <c r="Y281" s="5">
        <f t="shared" si="45"/>
        <v>1.16</v>
      </c>
      <c r="Z281" s="5">
        <f t="shared" si="45"/>
        <v>1.15</v>
      </c>
      <c r="AA281" s="5">
        <f t="shared" si="45"/>
        <v>1.13</v>
      </c>
      <c r="AB281" s="5">
        <f t="shared" si="45"/>
        <v>1.1</v>
      </c>
      <c r="AC281" s="5">
        <f t="shared" si="45"/>
        <v>1.08</v>
      </c>
      <c r="AD281" s="5">
        <f t="shared" si="45"/>
        <v>1.07</v>
      </c>
      <c r="AE281" s="5">
        <f t="shared" si="45"/>
        <v>1.06</v>
      </c>
      <c r="AF281" s="5">
        <f t="shared" si="45"/>
        <v>1.05</v>
      </c>
      <c r="AG281" s="5">
        <f t="shared" si="45"/>
        <v>1.05</v>
      </c>
      <c r="AH281" s="5">
        <f t="shared" si="47"/>
        <v>1.04</v>
      </c>
      <c r="AI281" s="5">
        <f t="shared" si="47"/>
        <v>1.03</v>
      </c>
      <c r="AJ281" s="5">
        <f t="shared" si="47"/>
        <v>1.03</v>
      </c>
    </row>
    <row r="282" spans="1:36">
      <c r="A282" t="str">
        <f>"primary_archetype_"&amp;TEXT(ROUND(Table213[[#This Row],[2016]],1),"0.0")</f>
        <v>primary_archetype_2.3</v>
      </c>
      <c r="B282" s="5">
        <f t="shared" si="44"/>
        <v>2.3</v>
      </c>
      <c r="C282" s="5">
        <f t="shared" si="46"/>
        <v>2.3</v>
      </c>
      <c r="D282" s="5">
        <f t="shared" si="46"/>
        <v>2.3</v>
      </c>
      <c r="E282" s="5">
        <f t="shared" si="46"/>
        <v>2.27</v>
      </c>
      <c r="F282" s="5">
        <f t="shared" si="46"/>
        <v>2.21</v>
      </c>
      <c r="G282" s="5">
        <f t="shared" si="46"/>
        <v>2.22</v>
      </c>
      <c r="H282" s="5">
        <f t="shared" si="46"/>
        <v>2.2</v>
      </c>
      <c r="I282" s="5">
        <f t="shared" si="46"/>
        <v>2.15</v>
      </c>
      <c r="J282" s="5">
        <f t="shared" si="46"/>
        <v>2.12</v>
      </c>
      <c r="K282" s="5">
        <f t="shared" si="46"/>
        <v>2.09</v>
      </c>
      <c r="L282" s="5">
        <f t="shared" si="46"/>
        <v>2.04</v>
      </c>
      <c r="M282" s="5">
        <f t="shared" si="46"/>
        <v>2.04</v>
      </c>
      <c r="N282" s="5">
        <f t="shared" si="46"/>
        <v>2</v>
      </c>
      <c r="O282" s="5">
        <f t="shared" si="46"/>
        <v>1.96</v>
      </c>
      <c r="P282" s="5">
        <f t="shared" si="46"/>
        <v>1.91</v>
      </c>
      <c r="Q282" s="5">
        <f t="shared" si="46"/>
        <v>1.78</v>
      </c>
      <c r="R282" s="5">
        <f t="shared" si="46"/>
        <v>1.59</v>
      </c>
      <c r="S282" s="5">
        <f t="shared" si="45"/>
        <v>1.53</v>
      </c>
      <c r="T282" s="5">
        <f t="shared" si="45"/>
        <v>1.41</v>
      </c>
      <c r="U282" s="5">
        <f t="shared" si="45"/>
        <v>1.28</v>
      </c>
      <c r="V282" s="5">
        <f t="shared" si="45"/>
        <v>1.26</v>
      </c>
      <c r="W282" s="5">
        <f t="shared" si="45"/>
        <v>1.2</v>
      </c>
      <c r="X282" s="5">
        <f t="shared" si="45"/>
        <v>1.18</v>
      </c>
      <c r="Y282" s="5">
        <f t="shared" si="45"/>
        <v>1.15</v>
      </c>
      <c r="Z282" s="5">
        <f t="shared" si="45"/>
        <v>1.14</v>
      </c>
      <c r="AA282" s="5">
        <f t="shared" si="45"/>
        <v>1.12</v>
      </c>
      <c r="AB282" s="5">
        <f t="shared" si="45"/>
        <v>1.1</v>
      </c>
      <c r="AC282" s="5">
        <f t="shared" si="45"/>
        <v>1.07</v>
      </c>
      <c r="AD282" s="5">
        <f t="shared" si="45"/>
        <v>1.07</v>
      </c>
      <c r="AE282" s="5">
        <f t="shared" si="45"/>
        <v>1.06</v>
      </c>
      <c r="AF282" s="5">
        <f t="shared" si="45"/>
        <v>1.05</v>
      </c>
      <c r="AG282" s="5">
        <f t="shared" si="45"/>
        <v>1.05</v>
      </c>
      <c r="AH282" s="5">
        <f t="shared" si="47"/>
        <v>1.04</v>
      </c>
      <c r="AI282" s="5">
        <f t="shared" si="47"/>
        <v>1.03</v>
      </c>
      <c r="AJ282" s="5">
        <f t="shared" si="47"/>
        <v>1.03</v>
      </c>
    </row>
    <row r="283" spans="1:36">
      <c r="A283" t="str">
        <f>"primary_archetype_"&amp;TEXT(ROUND(Table213[[#This Row],[2016]],1),"0.0")</f>
        <v>primary_archetype_2.2</v>
      </c>
      <c r="B283" s="5">
        <f t="shared" si="44"/>
        <v>2.2</v>
      </c>
      <c r="C283" s="5">
        <f t="shared" si="46"/>
        <v>2.2</v>
      </c>
      <c r="D283" s="5">
        <f t="shared" si="46"/>
        <v>2.2</v>
      </c>
      <c r="E283" s="5">
        <f t="shared" si="46"/>
        <v>2.18</v>
      </c>
      <c r="F283" s="5">
        <f t="shared" si="46"/>
        <v>2.12</v>
      </c>
      <c r="G283" s="5">
        <f t="shared" si="46"/>
        <v>2.13</v>
      </c>
      <c r="H283" s="5">
        <f t="shared" si="46"/>
        <v>2.1</v>
      </c>
      <c r="I283" s="5">
        <f t="shared" si="46"/>
        <v>2.06</v>
      </c>
      <c r="J283" s="5">
        <f t="shared" si="46"/>
        <v>2.03</v>
      </c>
      <c r="K283" s="5">
        <f t="shared" si="46"/>
        <v>2.01</v>
      </c>
      <c r="L283" s="5">
        <f t="shared" si="46"/>
        <v>1.96</v>
      </c>
      <c r="M283" s="5">
        <f t="shared" si="46"/>
        <v>1.96</v>
      </c>
      <c r="N283" s="5">
        <f t="shared" si="46"/>
        <v>1.92</v>
      </c>
      <c r="O283" s="5">
        <f t="shared" si="46"/>
        <v>1.89</v>
      </c>
      <c r="P283" s="5">
        <f t="shared" si="46"/>
        <v>1.84</v>
      </c>
      <c r="Q283" s="5">
        <f t="shared" si="46"/>
        <v>1.72</v>
      </c>
      <c r="R283" s="5">
        <f t="shared" si="46"/>
        <v>1.55</v>
      </c>
      <c r="S283" s="5">
        <f t="shared" si="45"/>
        <v>1.5</v>
      </c>
      <c r="T283" s="5">
        <f t="shared" si="45"/>
        <v>1.38</v>
      </c>
      <c r="U283" s="5">
        <f t="shared" si="45"/>
        <v>1.26</v>
      </c>
      <c r="V283" s="5">
        <f t="shared" si="45"/>
        <v>1.24</v>
      </c>
      <c r="W283" s="5">
        <f t="shared" si="45"/>
        <v>1.19</v>
      </c>
      <c r="X283" s="5">
        <f t="shared" si="45"/>
        <v>1.17</v>
      </c>
      <c r="Y283" s="5">
        <f t="shared" si="45"/>
        <v>1.14</v>
      </c>
      <c r="Z283" s="5">
        <f t="shared" si="45"/>
        <v>1.13</v>
      </c>
      <c r="AA283" s="5">
        <f t="shared" si="45"/>
        <v>1.12</v>
      </c>
      <c r="AB283" s="5">
        <f t="shared" si="45"/>
        <v>1.09</v>
      </c>
      <c r="AC283" s="5">
        <f t="shared" si="45"/>
        <v>1.07</v>
      </c>
      <c r="AD283" s="5">
        <f t="shared" si="45"/>
        <v>1.07</v>
      </c>
      <c r="AE283" s="5">
        <f t="shared" si="45"/>
        <v>1.05</v>
      </c>
      <c r="AF283" s="5">
        <f t="shared" si="45"/>
        <v>1.05</v>
      </c>
      <c r="AG283" s="5">
        <f t="shared" si="45"/>
        <v>1.05</v>
      </c>
      <c r="AH283" s="5">
        <f t="shared" si="47"/>
        <v>1.04</v>
      </c>
      <c r="AI283" s="5">
        <f t="shared" si="47"/>
        <v>1.03</v>
      </c>
      <c r="AJ283" s="5">
        <f t="shared" si="47"/>
        <v>1.03</v>
      </c>
    </row>
    <row r="284" spans="1:36">
      <c r="A284" t="str">
        <f>"primary_archetype_"&amp;TEXT(ROUND(Table213[[#This Row],[2016]],1),"0.0")</f>
        <v>primary_archetype_2.1</v>
      </c>
      <c r="B284" s="5">
        <f t="shared" si="44"/>
        <v>2.1</v>
      </c>
      <c r="C284" s="5">
        <f t="shared" si="46"/>
        <v>2.1</v>
      </c>
      <c r="D284" s="5">
        <f t="shared" si="46"/>
        <v>2.1</v>
      </c>
      <c r="E284" s="5">
        <f t="shared" si="46"/>
        <v>2.08</v>
      </c>
      <c r="F284" s="5">
        <f t="shared" si="46"/>
        <v>2.03</v>
      </c>
      <c r="G284" s="5">
        <f t="shared" si="46"/>
        <v>2.04</v>
      </c>
      <c r="H284" s="5">
        <f t="shared" si="46"/>
        <v>2.01</v>
      </c>
      <c r="I284" s="5">
        <f t="shared" si="46"/>
        <v>1.97</v>
      </c>
      <c r="J284" s="5">
        <f t="shared" si="46"/>
        <v>1.95</v>
      </c>
      <c r="K284" s="5">
        <f t="shared" si="46"/>
        <v>1.92</v>
      </c>
      <c r="L284" s="5">
        <f t="shared" si="46"/>
        <v>1.88</v>
      </c>
      <c r="M284" s="5">
        <f t="shared" si="46"/>
        <v>1.88</v>
      </c>
      <c r="N284" s="5">
        <f t="shared" si="46"/>
        <v>1.85</v>
      </c>
      <c r="O284" s="5">
        <f t="shared" si="46"/>
        <v>1.81</v>
      </c>
      <c r="P284" s="5">
        <f t="shared" si="46"/>
        <v>1.77</v>
      </c>
      <c r="Q284" s="5">
        <f t="shared" si="46"/>
        <v>1.66</v>
      </c>
      <c r="R284" s="5">
        <f t="shared" ref="R284:AG295" si="48">MROUND((($B284-$AH$2)*((R$2-$AH$2)/($B$2-$AH$2)))+$AH$2,0.01)</f>
        <v>1.51</v>
      </c>
      <c r="S284" s="5">
        <f t="shared" si="48"/>
        <v>1.46</v>
      </c>
      <c r="T284" s="5">
        <f t="shared" si="48"/>
        <v>1.35</v>
      </c>
      <c r="U284" s="5">
        <f t="shared" si="48"/>
        <v>1.24</v>
      </c>
      <c r="V284" s="5">
        <f t="shared" si="48"/>
        <v>1.23</v>
      </c>
      <c r="W284" s="5">
        <f t="shared" si="48"/>
        <v>1.18</v>
      </c>
      <c r="X284" s="5">
        <f t="shared" si="48"/>
        <v>1.15</v>
      </c>
      <c r="Y284" s="5">
        <f t="shared" si="48"/>
        <v>1.13</v>
      </c>
      <c r="Z284" s="5">
        <f t="shared" si="48"/>
        <v>1.13</v>
      </c>
      <c r="AA284" s="5">
        <f t="shared" si="48"/>
        <v>1.11</v>
      </c>
      <c r="AB284" s="5">
        <f t="shared" si="48"/>
        <v>1.09</v>
      </c>
      <c r="AC284" s="5">
        <f t="shared" si="48"/>
        <v>1.07</v>
      </c>
      <c r="AD284" s="5">
        <f t="shared" si="48"/>
        <v>1.07</v>
      </c>
      <c r="AE284" s="5">
        <f t="shared" si="48"/>
        <v>1.05</v>
      </c>
      <c r="AF284" s="5">
        <f t="shared" si="48"/>
        <v>1.05</v>
      </c>
      <c r="AG284" s="5">
        <f t="shared" si="48"/>
        <v>1.05</v>
      </c>
      <c r="AH284" s="5">
        <f t="shared" si="47"/>
        <v>1.04</v>
      </c>
      <c r="AI284" s="5">
        <f t="shared" si="47"/>
        <v>1.03</v>
      </c>
      <c r="AJ284" s="5">
        <f t="shared" si="47"/>
        <v>1.03</v>
      </c>
    </row>
    <row r="285" spans="1:36">
      <c r="A285" t="str">
        <f>"primary_archetype_"&amp;TEXT(ROUND(Table213[[#This Row],[2016]],1),"0.0")</f>
        <v>primary_archetype_2.0</v>
      </c>
      <c r="B285" s="5">
        <f t="shared" si="44"/>
        <v>2</v>
      </c>
      <c r="C285" s="5">
        <f t="shared" ref="C285:R295" si="49">MROUND((($B285-$AH$2)*((C$2-$AH$2)/($B$2-$AH$2)))+$AH$2,0.01)</f>
        <v>2</v>
      </c>
      <c r="D285" s="5">
        <f t="shared" si="49"/>
        <v>2</v>
      </c>
      <c r="E285" s="5">
        <f t="shared" si="49"/>
        <v>1.98</v>
      </c>
      <c r="F285" s="5">
        <f t="shared" si="49"/>
        <v>1.93</v>
      </c>
      <c r="G285" s="5">
        <f t="shared" si="49"/>
        <v>1.94</v>
      </c>
      <c r="H285" s="5">
        <f t="shared" si="49"/>
        <v>1.92</v>
      </c>
      <c r="I285" s="5">
        <f t="shared" si="49"/>
        <v>1.88</v>
      </c>
      <c r="J285" s="5">
        <f t="shared" si="49"/>
        <v>1.86</v>
      </c>
      <c r="K285" s="5">
        <f t="shared" si="49"/>
        <v>1.84</v>
      </c>
      <c r="L285" s="5">
        <f t="shared" si="49"/>
        <v>1.8</v>
      </c>
      <c r="M285" s="5">
        <f t="shared" si="49"/>
        <v>1.8</v>
      </c>
      <c r="N285" s="5">
        <f t="shared" si="49"/>
        <v>1.77</v>
      </c>
      <c r="O285" s="5">
        <f t="shared" si="49"/>
        <v>1.74</v>
      </c>
      <c r="P285" s="5">
        <f t="shared" si="49"/>
        <v>1.7</v>
      </c>
      <c r="Q285" s="5">
        <f t="shared" si="49"/>
        <v>1.6</v>
      </c>
      <c r="R285" s="5">
        <f t="shared" si="49"/>
        <v>1.46</v>
      </c>
      <c r="S285" s="5">
        <f t="shared" si="48"/>
        <v>1.42</v>
      </c>
      <c r="T285" s="5">
        <f t="shared" si="48"/>
        <v>1.32</v>
      </c>
      <c r="U285" s="5">
        <f t="shared" si="48"/>
        <v>1.22</v>
      </c>
      <c r="V285" s="5">
        <f t="shared" si="48"/>
        <v>1.21</v>
      </c>
      <c r="W285" s="5">
        <f t="shared" si="48"/>
        <v>1.16</v>
      </c>
      <c r="X285" s="5">
        <f t="shared" si="48"/>
        <v>1.14</v>
      </c>
      <c r="Y285" s="5">
        <f t="shared" si="48"/>
        <v>1.12</v>
      </c>
      <c r="Z285" s="5">
        <f t="shared" si="48"/>
        <v>1.12</v>
      </c>
      <c r="AA285" s="5">
        <f t="shared" si="48"/>
        <v>1.1</v>
      </c>
      <c r="AB285" s="5">
        <f t="shared" si="48"/>
        <v>1.08</v>
      </c>
      <c r="AC285" s="5">
        <f t="shared" si="48"/>
        <v>1.07</v>
      </c>
      <c r="AD285" s="5">
        <f t="shared" si="48"/>
        <v>1.06</v>
      </c>
      <c r="AE285" s="5">
        <f t="shared" si="48"/>
        <v>1.05</v>
      </c>
      <c r="AF285" s="5">
        <f t="shared" si="48"/>
        <v>1.05</v>
      </c>
      <c r="AG285" s="5">
        <f t="shared" si="48"/>
        <v>1.05</v>
      </c>
      <c r="AH285" s="5">
        <f t="shared" si="47"/>
        <v>1.04</v>
      </c>
      <c r="AI285" s="5">
        <f t="shared" si="47"/>
        <v>1.03</v>
      </c>
      <c r="AJ285" s="5">
        <f t="shared" si="47"/>
        <v>1.03</v>
      </c>
    </row>
    <row r="286" spans="1:36">
      <c r="A286" t="str">
        <f>"primary_archetype_"&amp;TEXT(ROUND(Table213[[#This Row],[2016]],1),"0.0")</f>
        <v>primary_archetype_1.9</v>
      </c>
      <c r="B286" s="5">
        <f t="shared" si="44"/>
        <v>1.9</v>
      </c>
      <c r="C286" s="5">
        <f t="shared" si="49"/>
        <v>1.9</v>
      </c>
      <c r="D286" s="5">
        <f t="shared" si="49"/>
        <v>1.9</v>
      </c>
      <c r="E286" s="5">
        <f t="shared" si="49"/>
        <v>1.88</v>
      </c>
      <c r="F286" s="5">
        <f t="shared" si="49"/>
        <v>1.84</v>
      </c>
      <c r="G286" s="5">
        <f t="shared" si="49"/>
        <v>1.85</v>
      </c>
      <c r="H286" s="5">
        <f t="shared" si="49"/>
        <v>1.83</v>
      </c>
      <c r="I286" s="5">
        <f t="shared" si="49"/>
        <v>1.79</v>
      </c>
      <c r="J286" s="5">
        <f t="shared" si="49"/>
        <v>1.78</v>
      </c>
      <c r="K286" s="5">
        <f t="shared" si="49"/>
        <v>1.76</v>
      </c>
      <c r="L286" s="5">
        <f t="shared" si="49"/>
        <v>1.72</v>
      </c>
      <c r="M286" s="5">
        <f t="shared" si="49"/>
        <v>1.72</v>
      </c>
      <c r="N286" s="5">
        <f t="shared" si="49"/>
        <v>1.69</v>
      </c>
      <c r="O286" s="5">
        <f t="shared" si="49"/>
        <v>1.67</v>
      </c>
      <c r="P286" s="5">
        <f t="shared" si="49"/>
        <v>1.64</v>
      </c>
      <c r="Q286" s="5">
        <f t="shared" si="49"/>
        <v>1.54</v>
      </c>
      <c r="R286" s="5">
        <f t="shared" si="49"/>
        <v>1.42</v>
      </c>
      <c r="S286" s="5">
        <f t="shared" si="48"/>
        <v>1.38</v>
      </c>
      <c r="T286" s="5">
        <f t="shared" si="48"/>
        <v>1.29</v>
      </c>
      <c r="U286" s="5">
        <f t="shared" si="48"/>
        <v>1.2</v>
      </c>
      <c r="V286" s="5">
        <f t="shared" si="48"/>
        <v>1.19</v>
      </c>
      <c r="W286" s="5">
        <f t="shared" si="48"/>
        <v>1.15</v>
      </c>
      <c r="X286" s="5">
        <f t="shared" si="48"/>
        <v>1.13</v>
      </c>
      <c r="Y286" s="5">
        <f t="shared" si="48"/>
        <v>1.11</v>
      </c>
      <c r="Z286" s="5">
        <f t="shared" si="48"/>
        <v>1.11</v>
      </c>
      <c r="AA286" s="5">
        <f t="shared" si="48"/>
        <v>1.1</v>
      </c>
      <c r="AB286" s="5">
        <f t="shared" si="48"/>
        <v>1.08</v>
      </c>
      <c r="AC286" s="5">
        <f t="shared" si="48"/>
        <v>1.06</v>
      </c>
      <c r="AD286" s="5">
        <f t="shared" si="48"/>
        <v>1.06</v>
      </c>
      <c r="AE286" s="5">
        <f t="shared" si="48"/>
        <v>1.05</v>
      </c>
      <c r="AF286" s="5">
        <f t="shared" si="48"/>
        <v>1.05</v>
      </c>
      <c r="AG286" s="5">
        <f t="shared" si="48"/>
        <v>1.04</v>
      </c>
      <c r="AH286" s="5">
        <f t="shared" si="47"/>
        <v>1.04</v>
      </c>
      <c r="AI286" s="5">
        <f t="shared" si="47"/>
        <v>1.03</v>
      </c>
      <c r="AJ286" s="5">
        <f t="shared" si="47"/>
        <v>1.03</v>
      </c>
    </row>
    <row r="287" spans="1:36">
      <c r="A287" t="str">
        <f>"primary_archetype_"&amp;TEXT(ROUND(Table213[[#This Row],[2016]],1),"0.0")</f>
        <v>primary_archetype_1.8</v>
      </c>
      <c r="B287" s="5">
        <f t="shared" si="44"/>
        <v>1.8</v>
      </c>
      <c r="C287" s="5">
        <f t="shared" si="49"/>
        <v>1.8</v>
      </c>
      <c r="D287" s="5">
        <f t="shared" si="49"/>
        <v>1.8</v>
      </c>
      <c r="E287" s="5">
        <f t="shared" si="49"/>
        <v>1.78</v>
      </c>
      <c r="F287" s="5">
        <f t="shared" si="49"/>
        <v>1.75</v>
      </c>
      <c r="G287" s="5">
        <f t="shared" si="49"/>
        <v>1.75</v>
      </c>
      <c r="H287" s="5">
        <f t="shared" si="49"/>
        <v>1.74</v>
      </c>
      <c r="I287" s="5">
        <f t="shared" si="49"/>
        <v>1.71</v>
      </c>
      <c r="J287" s="5">
        <f t="shared" si="49"/>
        <v>1.69</v>
      </c>
      <c r="K287" s="5">
        <f t="shared" si="49"/>
        <v>1.67</v>
      </c>
      <c r="L287" s="5">
        <f t="shared" si="49"/>
        <v>1.64</v>
      </c>
      <c r="M287" s="5">
        <f t="shared" si="49"/>
        <v>1.64</v>
      </c>
      <c r="N287" s="5">
        <f t="shared" si="49"/>
        <v>1.62</v>
      </c>
      <c r="O287" s="5">
        <f t="shared" si="49"/>
        <v>1.59</v>
      </c>
      <c r="P287" s="5">
        <f t="shared" si="49"/>
        <v>1.57</v>
      </c>
      <c r="Q287" s="5">
        <f t="shared" si="49"/>
        <v>1.48</v>
      </c>
      <c r="R287" s="5">
        <f t="shared" si="49"/>
        <v>1.37</v>
      </c>
      <c r="S287" s="5">
        <f t="shared" si="48"/>
        <v>1.34</v>
      </c>
      <c r="T287" s="5">
        <f t="shared" si="48"/>
        <v>1.26</v>
      </c>
      <c r="U287" s="5">
        <f t="shared" si="48"/>
        <v>1.18</v>
      </c>
      <c r="V287" s="5">
        <f t="shared" si="48"/>
        <v>1.17</v>
      </c>
      <c r="W287" s="5">
        <f t="shared" si="48"/>
        <v>1.14</v>
      </c>
      <c r="X287" s="5">
        <f t="shared" si="48"/>
        <v>1.12</v>
      </c>
      <c r="Y287" s="5">
        <f t="shared" si="48"/>
        <v>1.1</v>
      </c>
      <c r="Z287" s="5">
        <f t="shared" si="48"/>
        <v>1.1</v>
      </c>
      <c r="AA287" s="5">
        <f t="shared" si="48"/>
        <v>1.09</v>
      </c>
      <c r="AB287" s="5">
        <f t="shared" si="48"/>
        <v>1.07</v>
      </c>
      <c r="AC287" s="5">
        <f t="shared" si="48"/>
        <v>1.06</v>
      </c>
      <c r="AD287" s="5">
        <f t="shared" si="48"/>
        <v>1.06</v>
      </c>
      <c r="AE287" s="5">
        <f t="shared" si="48"/>
        <v>1.05</v>
      </c>
      <c r="AF287" s="5">
        <f t="shared" si="48"/>
        <v>1.05</v>
      </c>
      <c r="AG287" s="5">
        <f t="shared" si="48"/>
        <v>1.04</v>
      </c>
      <c r="AH287" s="5">
        <f t="shared" si="47"/>
        <v>1.04</v>
      </c>
      <c r="AI287" s="5">
        <f t="shared" si="47"/>
        <v>1.03</v>
      </c>
      <c r="AJ287" s="5">
        <f t="shared" si="47"/>
        <v>1.03</v>
      </c>
    </row>
    <row r="288" spans="1:36">
      <c r="A288" t="str">
        <f>"primary_archetype_"&amp;TEXT(ROUND(Table213[[#This Row],[2016]],1),"0.0")</f>
        <v>primary_archetype_1.7</v>
      </c>
      <c r="B288" s="5">
        <f t="shared" si="44"/>
        <v>1.7</v>
      </c>
      <c r="C288" s="5">
        <f t="shared" si="49"/>
        <v>1.7</v>
      </c>
      <c r="D288" s="5">
        <f t="shared" si="49"/>
        <v>1.7</v>
      </c>
      <c r="E288" s="5">
        <f t="shared" si="49"/>
        <v>1.69</v>
      </c>
      <c r="F288" s="5">
        <f t="shared" si="49"/>
        <v>1.66</v>
      </c>
      <c r="G288" s="5">
        <f t="shared" si="49"/>
        <v>1.66</v>
      </c>
      <c r="H288" s="5">
        <f t="shared" si="49"/>
        <v>1.65</v>
      </c>
      <c r="I288" s="5">
        <f t="shared" si="49"/>
        <v>1.62</v>
      </c>
      <c r="J288" s="5">
        <f t="shared" si="49"/>
        <v>1.6</v>
      </c>
      <c r="K288" s="5">
        <f t="shared" si="49"/>
        <v>1.59</v>
      </c>
      <c r="L288" s="5">
        <f t="shared" si="49"/>
        <v>1.56</v>
      </c>
      <c r="M288" s="5">
        <f t="shared" si="49"/>
        <v>1.56</v>
      </c>
      <c r="N288" s="5">
        <f t="shared" si="49"/>
        <v>1.54</v>
      </c>
      <c r="O288" s="5">
        <f t="shared" si="49"/>
        <v>1.52</v>
      </c>
      <c r="P288" s="5">
        <f t="shared" si="49"/>
        <v>1.5</v>
      </c>
      <c r="Q288" s="5">
        <f t="shared" si="49"/>
        <v>1.43</v>
      </c>
      <c r="R288" s="5">
        <f t="shared" si="49"/>
        <v>1.33</v>
      </c>
      <c r="S288" s="5">
        <f t="shared" si="48"/>
        <v>1.3</v>
      </c>
      <c r="T288" s="5">
        <f t="shared" si="48"/>
        <v>1.23</v>
      </c>
      <c r="U288" s="5">
        <f t="shared" si="48"/>
        <v>1.16</v>
      </c>
      <c r="V288" s="5">
        <f t="shared" si="48"/>
        <v>1.15</v>
      </c>
      <c r="W288" s="5">
        <f t="shared" si="48"/>
        <v>1.12</v>
      </c>
      <c r="X288" s="5">
        <f t="shared" si="48"/>
        <v>1.11</v>
      </c>
      <c r="Y288" s="5">
        <f t="shared" si="48"/>
        <v>1.09</v>
      </c>
      <c r="Z288" s="5">
        <f t="shared" si="48"/>
        <v>1.09</v>
      </c>
      <c r="AA288" s="5">
        <f t="shared" si="48"/>
        <v>1.08</v>
      </c>
      <c r="AB288" s="5">
        <f t="shared" si="48"/>
        <v>1.07</v>
      </c>
      <c r="AC288" s="5">
        <f t="shared" si="48"/>
        <v>1.06</v>
      </c>
      <c r="AD288" s="5">
        <f t="shared" si="48"/>
        <v>1.05</v>
      </c>
      <c r="AE288" s="5">
        <f t="shared" si="48"/>
        <v>1.05</v>
      </c>
      <c r="AF288" s="5">
        <f t="shared" si="48"/>
        <v>1.04</v>
      </c>
      <c r="AG288" s="5">
        <f t="shared" si="48"/>
        <v>1.04</v>
      </c>
      <c r="AH288" s="5">
        <f t="shared" si="47"/>
        <v>1.04</v>
      </c>
      <c r="AI288" s="5">
        <f t="shared" si="47"/>
        <v>1.03</v>
      </c>
      <c r="AJ288" s="5">
        <f t="shared" si="47"/>
        <v>1.03</v>
      </c>
    </row>
    <row r="289" spans="1:36">
      <c r="A289" t="str">
        <f>"primary_archetype_"&amp;TEXT(ROUND(Table213[[#This Row],[2016]],1),"0.0")</f>
        <v>primary_archetype_1.6</v>
      </c>
      <c r="B289" s="5">
        <f t="shared" si="44"/>
        <v>1.6</v>
      </c>
      <c r="C289" s="5">
        <f t="shared" si="49"/>
        <v>1.6</v>
      </c>
      <c r="D289" s="5">
        <f t="shared" si="49"/>
        <v>1.6</v>
      </c>
      <c r="E289" s="5">
        <f t="shared" si="49"/>
        <v>1.59</v>
      </c>
      <c r="F289" s="5">
        <f t="shared" si="49"/>
        <v>1.56</v>
      </c>
      <c r="G289" s="5">
        <f t="shared" si="49"/>
        <v>1.57</v>
      </c>
      <c r="H289" s="5">
        <f t="shared" si="49"/>
        <v>1.55</v>
      </c>
      <c r="I289" s="5">
        <f t="shared" si="49"/>
        <v>1.53</v>
      </c>
      <c r="J289" s="5">
        <f t="shared" si="49"/>
        <v>1.52</v>
      </c>
      <c r="K289" s="5">
        <f t="shared" si="49"/>
        <v>1.51</v>
      </c>
      <c r="L289" s="5">
        <f t="shared" si="49"/>
        <v>1.48</v>
      </c>
      <c r="M289" s="5">
        <f t="shared" si="49"/>
        <v>1.48</v>
      </c>
      <c r="N289" s="5">
        <f t="shared" si="49"/>
        <v>1.47</v>
      </c>
      <c r="O289" s="5">
        <f t="shared" si="49"/>
        <v>1.45</v>
      </c>
      <c r="P289" s="5">
        <f t="shared" si="49"/>
        <v>1.43</v>
      </c>
      <c r="Q289" s="5">
        <f t="shared" si="49"/>
        <v>1.37</v>
      </c>
      <c r="R289" s="5">
        <f t="shared" si="49"/>
        <v>1.28</v>
      </c>
      <c r="S289" s="5">
        <f t="shared" si="48"/>
        <v>1.26</v>
      </c>
      <c r="T289" s="5">
        <f t="shared" si="48"/>
        <v>1.2</v>
      </c>
      <c r="U289" s="5">
        <f t="shared" si="48"/>
        <v>1.14</v>
      </c>
      <c r="V289" s="5">
        <f t="shared" si="48"/>
        <v>1.14</v>
      </c>
      <c r="W289" s="5">
        <f t="shared" si="48"/>
        <v>1.11</v>
      </c>
      <c r="X289" s="5">
        <f t="shared" si="48"/>
        <v>1.1</v>
      </c>
      <c r="Y289" s="5">
        <f t="shared" si="48"/>
        <v>1.09</v>
      </c>
      <c r="Z289" s="5">
        <f t="shared" si="48"/>
        <v>1.08</v>
      </c>
      <c r="AA289" s="5">
        <f t="shared" si="48"/>
        <v>1.08</v>
      </c>
      <c r="AB289" s="5">
        <f t="shared" si="48"/>
        <v>1.06</v>
      </c>
      <c r="AC289" s="5">
        <f t="shared" si="48"/>
        <v>1.05</v>
      </c>
      <c r="AD289" s="5">
        <f t="shared" si="48"/>
        <v>1.05</v>
      </c>
      <c r="AE289" s="5">
        <f t="shared" si="48"/>
        <v>1.05</v>
      </c>
      <c r="AF289" s="5">
        <f t="shared" si="48"/>
        <v>1.04</v>
      </c>
      <c r="AG289" s="5">
        <f t="shared" si="48"/>
        <v>1.04</v>
      </c>
      <c r="AH289" s="5">
        <f t="shared" si="47"/>
        <v>1.04</v>
      </c>
      <c r="AI289" s="5">
        <f t="shared" si="47"/>
        <v>1.03</v>
      </c>
      <c r="AJ289" s="5">
        <f t="shared" si="47"/>
        <v>1.03</v>
      </c>
    </row>
    <row r="290" spans="1:36">
      <c r="A290" t="str">
        <f>"primary_archetype_"&amp;TEXT(ROUND(Table213[[#This Row],[2016]],1),"0.0")</f>
        <v>primary_archetype_1.5</v>
      </c>
      <c r="B290" s="5">
        <f t="shared" si="44"/>
        <v>1.5</v>
      </c>
      <c r="C290" s="5">
        <f t="shared" si="49"/>
        <v>1.5</v>
      </c>
      <c r="D290" s="5">
        <f t="shared" si="49"/>
        <v>1.5</v>
      </c>
      <c r="E290" s="5">
        <f t="shared" si="49"/>
        <v>1.49</v>
      </c>
      <c r="F290" s="5">
        <f t="shared" si="49"/>
        <v>1.47</v>
      </c>
      <c r="G290" s="5">
        <f t="shared" si="49"/>
        <v>1.47</v>
      </c>
      <c r="H290" s="5">
        <f t="shared" si="49"/>
        <v>1.46</v>
      </c>
      <c r="I290" s="5">
        <f t="shared" si="49"/>
        <v>1.44</v>
      </c>
      <c r="J290" s="5">
        <f t="shared" si="49"/>
        <v>1.43</v>
      </c>
      <c r="K290" s="5">
        <f t="shared" si="49"/>
        <v>1.42</v>
      </c>
      <c r="L290" s="5">
        <f t="shared" si="49"/>
        <v>1.41</v>
      </c>
      <c r="M290" s="5">
        <f t="shared" si="49"/>
        <v>1.4</v>
      </c>
      <c r="N290" s="5">
        <f t="shared" si="49"/>
        <v>1.39</v>
      </c>
      <c r="O290" s="5">
        <f t="shared" si="49"/>
        <v>1.38</v>
      </c>
      <c r="P290" s="5">
        <f t="shared" si="49"/>
        <v>1.36</v>
      </c>
      <c r="Q290" s="5">
        <f t="shared" si="49"/>
        <v>1.31</v>
      </c>
      <c r="R290" s="5">
        <f t="shared" si="49"/>
        <v>1.24</v>
      </c>
      <c r="S290" s="5">
        <f t="shared" si="48"/>
        <v>1.22</v>
      </c>
      <c r="T290" s="5">
        <f t="shared" si="48"/>
        <v>1.17</v>
      </c>
      <c r="U290" s="5">
        <f t="shared" si="48"/>
        <v>1.13</v>
      </c>
      <c r="V290" s="5">
        <f t="shared" si="48"/>
        <v>1.12</v>
      </c>
      <c r="W290" s="5">
        <f t="shared" si="48"/>
        <v>1.1</v>
      </c>
      <c r="X290" s="5">
        <f t="shared" si="48"/>
        <v>1.09</v>
      </c>
      <c r="Y290" s="5">
        <f t="shared" si="48"/>
        <v>1.08</v>
      </c>
      <c r="Z290" s="5">
        <f t="shared" si="48"/>
        <v>1.08</v>
      </c>
      <c r="AA290" s="5">
        <f t="shared" si="48"/>
        <v>1.07</v>
      </c>
      <c r="AB290" s="5">
        <f t="shared" si="48"/>
        <v>1.06</v>
      </c>
      <c r="AC290" s="5">
        <f t="shared" si="48"/>
        <v>1.05</v>
      </c>
      <c r="AD290" s="5">
        <f t="shared" si="48"/>
        <v>1.05</v>
      </c>
      <c r="AE290" s="5">
        <f t="shared" si="48"/>
        <v>1.04</v>
      </c>
      <c r="AF290" s="5">
        <f t="shared" si="48"/>
        <v>1.04</v>
      </c>
      <c r="AG290" s="5">
        <f t="shared" si="48"/>
        <v>1.04</v>
      </c>
      <c r="AH290" s="5">
        <f t="shared" si="47"/>
        <v>1.04</v>
      </c>
      <c r="AI290" s="5">
        <f t="shared" si="47"/>
        <v>1.03</v>
      </c>
      <c r="AJ290" s="5">
        <f t="shared" si="47"/>
        <v>1.03</v>
      </c>
    </row>
    <row r="291" spans="1:36">
      <c r="A291" t="str">
        <f>"primary_archetype_"&amp;TEXT(ROUND(Table213[[#This Row],[2016]],1),"0.0")</f>
        <v>primary_archetype_1.4</v>
      </c>
      <c r="B291" s="5">
        <f t="shared" si="44"/>
        <v>1.4</v>
      </c>
      <c r="C291" s="5">
        <f t="shared" si="49"/>
        <v>1.4</v>
      </c>
      <c r="D291" s="5">
        <f t="shared" si="49"/>
        <v>1.4</v>
      </c>
      <c r="E291" s="5">
        <f t="shared" si="49"/>
        <v>1.39</v>
      </c>
      <c r="F291" s="5">
        <f t="shared" si="49"/>
        <v>1.38</v>
      </c>
      <c r="G291" s="5">
        <f t="shared" si="49"/>
        <v>1.38</v>
      </c>
      <c r="H291" s="5">
        <f t="shared" si="49"/>
        <v>1.37</v>
      </c>
      <c r="I291" s="5">
        <f t="shared" si="49"/>
        <v>1.36</v>
      </c>
      <c r="J291" s="5">
        <f t="shared" si="49"/>
        <v>1.35</v>
      </c>
      <c r="K291" s="5">
        <f t="shared" si="49"/>
        <v>1.34</v>
      </c>
      <c r="L291" s="5">
        <f t="shared" si="49"/>
        <v>1.33</v>
      </c>
      <c r="M291" s="5">
        <f t="shared" si="49"/>
        <v>1.32</v>
      </c>
      <c r="N291" s="5">
        <f t="shared" si="49"/>
        <v>1.31</v>
      </c>
      <c r="O291" s="5">
        <f t="shared" si="49"/>
        <v>1.3</v>
      </c>
      <c r="P291" s="5">
        <f t="shared" si="49"/>
        <v>1.29</v>
      </c>
      <c r="Q291" s="5">
        <f t="shared" si="49"/>
        <v>1.25</v>
      </c>
      <c r="R291" s="5">
        <f t="shared" si="49"/>
        <v>1.2</v>
      </c>
      <c r="S291" s="5">
        <f t="shared" si="48"/>
        <v>1.18</v>
      </c>
      <c r="T291" s="5">
        <f t="shared" si="48"/>
        <v>1.14</v>
      </c>
      <c r="U291" s="5">
        <f t="shared" si="48"/>
        <v>1.11</v>
      </c>
      <c r="V291" s="5">
        <f t="shared" si="48"/>
        <v>1.1</v>
      </c>
      <c r="W291" s="5">
        <f t="shared" si="48"/>
        <v>1.08</v>
      </c>
      <c r="X291" s="5">
        <f t="shared" si="48"/>
        <v>1.08</v>
      </c>
      <c r="Y291" s="5">
        <f t="shared" si="48"/>
        <v>1.07</v>
      </c>
      <c r="Z291" s="5">
        <f t="shared" si="48"/>
        <v>1.07</v>
      </c>
      <c r="AA291" s="5">
        <f t="shared" si="48"/>
        <v>1.06</v>
      </c>
      <c r="AB291" s="5">
        <f t="shared" si="48"/>
        <v>1.05</v>
      </c>
      <c r="AC291" s="5">
        <f t="shared" si="48"/>
        <v>1.05</v>
      </c>
      <c r="AD291" s="5">
        <f t="shared" si="48"/>
        <v>1.05</v>
      </c>
      <c r="AE291" s="5">
        <f t="shared" si="48"/>
        <v>1.04</v>
      </c>
      <c r="AF291" s="5">
        <f t="shared" si="48"/>
        <v>1.04</v>
      </c>
      <c r="AG291" s="5">
        <f t="shared" si="48"/>
        <v>1.04</v>
      </c>
      <c r="AH291" s="5">
        <f t="shared" si="47"/>
        <v>1.04</v>
      </c>
      <c r="AI291" s="5">
        <f t="shared" si="47"/>
        <v>1.03</v>
      </c>
      <c r="AJ291" s="5">
        <f t="shared" si="47"/>
        <v>1.03</v>
      </c>
    </row>
    <row r="292" spans="1:36">
      <c r="A292" t="str">
        <f>"primary_archetype_"&amp;TEXT(ROUND(Table213[[#This Row],[2016]],1),"0.0")</f>
        <v>primary_archetype_1.3</v>
      </c>
      <c r="B292" s="5">
        <f t="shared" si="44"/>
        <v>1.3</v>
      </c>
      <c r="C292" s="5">
        <f t="shared" si="49"/>
        <v>1.3</v>
      </c>
      <c r="D292" s="5">
        <f t="shared" si="49"/>
        <v>1.3</v>
      </c>
      <c r="E292" s="5">
        <f t="shared" si="49"/>
        <v>1.29</v>
      </c>
      <c r="F292" s="5">
        <f t="shared" si="49"/>
        <v>1.28</v>
      </c>
      <c r="G292" s="5">
        <f t="shared" si="49"/>
        <v>1.28</v>
      </c>
      <c r="H292" s="5">
        <f t="shared" si="49"/>
        <v>1.28</v>
      </c>
      <c r="I292" s="5">
        <f t="shared" si="49"/>
        <v>1.27</v>
      </c>
      <c r="J292" s="5">
        <f t="shared" si="49"/>
        <v>1.26</v>
      </c>
      <c r="K292" s="5">
        <f t="shared" si="49"/>
        <v>1.26</v>
      </c>
      <c r="L292" s="5">
        <f t="shared" si="49"/>
        <v>1.25</v>
      </c>
      <c r="M292" s="5">
        <f t="shared" si="49"/>
        <v>1.25</v>
      </c>
      <c r="N292" s="5">
        <f t="shared" si="49"/>
        <v>1.24</v>
      </c>
      <c r="O292" s="5">
        <f t="shared" si="49"/>
        <v>1.23</v>
      </c>
      <c r="P292" s="5">
        <f t="shared" si="49"/>
        <v>1.22</v>
      </c>
      <c r="Q292" s="5">
        <f t="shared" si="49"/>
        <v>1.19</v>
      </c>
      <c r="R292" s="5">
        <f t="shared" si="49"/>
        <v>1.15</v>
      </c>
      <c r="S292" s="5">
        <f t="shared" si="48"/>
        <v>1.14</v>
      </c>
      <c r="T292" s="5">
        <f t="shared" si="48"/>
        <v>1.11</v>
      </c>
      <c r="U292" s="5">
        <f t="shared" si="48"/>
        <v>1.09</v>
      </c>
      <c r="V292" s="5">
        <f t="shared" si="48"/>
        <v>1.08</v>
      </c>
      <c r="W292" s="5">
        <f t="shared" si="48"/>
        <v>1.07</v>
      </c>
      <c r="X292" s="5">
        <f t="shared" si="48"/>
        <v>1.07</v>
      </c>
      <c r="Y292" s="5">
        <f t="shared" si="48"/>
        <v>1.06</v>
      </c>
      <c r="Z292" s="5">
        <f t="shared" si="48"/>
        <v>1.06</v>
      </c>
      <c r="AA292" s="5">
        <f t="shared" si="48"/>
        <v>1.05</v>
      </c>
      <c r="AB292" s="5">
        <f t="shared" si="48"/>
        <v>1.05</v>
      </c>
      <c r="AC292" s="5">
        <f t="shared" si="48"/>
        <v>1.04</v>
      </c>
      <c r="AD292" s="5">
        <f t="shared" si="48"/>
        <v>1.04</v>
      </c>
      <c r="AE292" s="5">
        <f t="shared" si="48"/>
        <v>1.04</v>
      </c>
      <c r="AF292" s="5">
        <f t="shared" si="48"/>
        <v>1.04</v>
      </c>
      <c r="AG292" s="5">
        <f t="shared" si="48"/>
        <v>1.04</v>
      </c>
      <c r="AH292" s="5">
        <f t="shared" si="47"/>
        <v>1.04</v>
      </c>
      <c r="AI292" s="5">
        <f t="shared" si="47"/>
        <v>1.04</v>
      </c>
      <c r="AJ292" s="5">
        <f t="shared" si="47"/>
        <v>1.03</v>
      </c>
    </row>
    <row r="293" spans="1:36">
      <c r="A293" t="str">
        <f>"primary_archetype_"&amp;TEXT(ROUND(Table213[[#This Row],[2016]],1),"0.0")</f>
        <v>primary_archetype_1.2</v>
      </c>
      <c r="B293" s="5">
        <f t="shared" si="44"/>
        <v>1.2</v>
      </c>
      <c r="C293" s="5">
        <f t="shared" si="49"/>
        <v>1.2</v>
      </c>
      <c r="D293" s="5">
        <f t="shared" si="49"/>
        <v>1.2</v>
      </c>
      <c r="E293" s="5">
        <f t="shared" si="49"/>
        <v>1.2</v>
      </c>
      <c r="F293" s="5">
        <f t="shared" si="49"/>
        <v>1.19</v>
      </c>
      <c r="G293" s="5">
        <f t="shared" si="49"/>
        <v>1.19</v>
      </c>
      <c r="H293" s="5">
        <f t="shared" si="49"/>
        <v>1.19</v>
      </c>
      <c r="I293" s="5">
        <f t="shared" si="49"/>
        <v>1.18</v>
      </c>
      <c r="J293" s="5">
        <f t="shared" si="49"/>
        <v>1.18</v>
      </c>
      <c r="K293" s="5">
        <f t="shared" si="49"/>
        <v>1.17</v>
      </c>
      <c r="L293" s="5">
        <f t="shared" si="49"/>
        <v>1.17</v>
      </c>
      <c r="M293" s="5">
        <f t="shared" si="49"/>
        <v>1.17</v>
      </c>
      <c r="N293" s="5">
        <f t="shared" si="49"/>
        <v>1.16</v>
      </c>
      <c r="O293" s="5">
        <f t="shared" si="49"/>
        <v>1.16</v>
      </c>
      <c r="P293" s="5">
        <f t="shared" si="49"/>
        <v>1.15</v>
      </c>
      <c r="Q293" s="5">
        <f t="shared" si="49"/>
        <v>1.13</v>
      </c>
      <c r="R293" s="5">
        <f t="shared" si="49"/>
        <v>1.11</v>
      </c>
      <c r="S293" s="5">
        <f t="shared" si="48"/>
        <v>1.1</v>
      </c>
      <c r="T293" s="5">
        <f t="shared" si="48"/>
        <v>1.08</v>
      </c>
      <c r="U293" s="5">
        <f t="shared" si="48"/>
        <v>1.07</v>
      </c>
      <c r="V293" s="5">
        <f t="shared" si="48"/>
        <v>1.07</v>
      </c>
      <c r="W293" s="5">
        <f t="shared" si="48"/>
        <v>1.06</v>
      </c>
      <c r="X293" s="5">
        <f t="shared" si="48"/>
        <v>1.05</v>
      </c>
      <c r="Y293" s="5">
        <f t="shared" si="48"/>
        <v>1.05</v>
      </c>
      <c r="Z293" s="5">
        <f t="shared" si="48"/>
        <v>1.05</v>
      </c>
      <c r="AA293" s="5">
        <f t="shared" si="48"/>
        <v>1.05</v>
      </c>
      <c r="AB293" s="5">
        <f t="shared" si="48"/>
        <v>1.04</v>
      </c>
      <c r="AC293" s="5">
        <f t="shared" si="48"/>
        <v>1.04</v>
      </c>
      <c r="AD293" s="5">
        <f t="shared" si="48"/>
        <v>1.04</v>
      </c>
      <c r="AE293" s="5">
        <f t="shared" si="48"/>
        <v>1.04</v>
      </c>
      <c r="AF293" s="5">
        <f t="shared" si="48"/>
        <v>1.04</v>
      </c>
      <c r="AG293" s="5">
        <f t="shared" si="48"/>
        <v>1.04</v>
      </c>
      <c r="AH293" s="5">
        <f t="shared" si="47"/>
        <v>1.04</v>
      </c>
      <c r="AI293" s="5">
        <f t="shared" si="47"/>
        <v>1.04</v>
      </c>
      <c r="AJ293" s="5">
        <f t="shared" si="47"/>
        <v>1.04</v>
      </c>
    </row>
    <row r="294" spans="1:36">
      <c r="A294" t="str">
        <f>"primary_archetype_"&amp;TEXT(ROUND(Table213[[#This Row],[2016]],1),"0.0")</f>
        <v>primary_archetype_1.1</v>
      </c>
      <c r="B294" s="5">
        <f t="shared" si="44"/>
        <v>1.1</v>
      </c>
      <c r="C294" s="5">
        <f t="shared" si="49"/>
        <v>1.1</v>
      </c>
      <c r="D294" s="5">
        <f t="shared" si="49"/>
        <v>1.1</v>
      </c>
      <c r="E294" s="5">
        <f t="shared" si="49"/>
        <v>1.1</v>
      </c>
      <c r="F294" s="5">
        <f t="shared" si="49"/>
        <v>1.1</v>
      </c>
      <c r="G294" s="5">
        <f t="shared" si="49"/>
        <v>1.1</v>
      </c>
      <c r="H294" s="5">
        <f t="shared" si="49"/>
        <v>1.09</v>
      </c>
      <c r="I294" s="5">
        <f t="shared" si="49"/>
        <v>1.09</v>
      </c>
      <c r="J294" s="5">
        <f t="shared" si="49"/>
        <v>1.09</v>
      </c>
      <c r="K294" s="5">
        <f t="shared" si="49"/>
        <v>1.09</v>
      </c>
      <c r="L294" s="5">
        <f t="shared" si="49"/>
        <v>1.09</v>
      </c>
      <c r="M294" s="5">
        <f t="shared" si="49"/>
        <v>1.09</v>
      </c>
      <c r="N294" s="5">
        <f t="shared" si="49"/>
        <v>1.08</v>
      </c>
      <c r="O294" s="5">
        <f t="shared" si="49"/>
        <v>1.08</v>
      </c>
      <c r="P294" s="5">
        <f t="shared" si="49"/>
        <v>1.08</v>
      </c>
      <c r="Q294" s="5">
        <f t="shared" si="49"/>
        <v>1.07</v>
      </c>
      <c r="R294" s="5">
        <f t="shared" si="49"/>
        <v>1.06</v>
      </c>
      <c r="S294" s="5">
        <f t="shared" si="48"/>
        <v>1.06</v>
      </c>
      <c r="T294" s="5">
        <f t="shared" si="48"/>
        <v>1.06</v>
      </c>
      <c r="U294" s="5">
        <f t="shared" si="48"/>
        <v>1.05</v>
      </c>
      <c r="V294" s="5">
        <f t="shared" si="48"/>
        <v>1.05</v>
      </c>
      <c r="W294" s="5">
        <f t="shared" si="48"/>
        <v>1.05</v>
      </c>
      <c r="X294" s="5">
        <f t="shared" si="48"/>
        <v>1.04</v>
      </c>
      <c r="Y294" s="5">
        <f t="shared" si="48"/>
        <v>1.04</v>
      </c>
      <c r="Z294" s="5">
        <f t="shared" si="48"/>
        <v>1.04</v>
      </c>
      <c r="AA294" s="5">
        <f t="shared" si="48"/>
        <v>1.04</v>
      </c>
      <c r="AB294" s="5">
        <f t="shared" si="48"/>
        <v>1.04</v>
      </c>
      <c r="AC294" s="5">
        <f t="shared" si="48"/>
        <v>1.04</v>
      </c>
      <c r="AD294" s="5">
        <f t="shared" si="48"/>
        <v>1.04</v>
      </c>
      <c r="AE294" s="5">
        <f t="shared" si="48"/>
        <v>1.04</v>
      </c>
      <c r="AF294" s="5">
        <f t="shared" si="48"/>
        <v>1.04</v>
      </c>
      <c r="AG294" s="5">
        <f t="shared" si="48"/>
        <v>1.04</v>
      </c>
      <c r="AH294" s="5">
        <f t="shared" si="47"/>
        <v>1.04</v>
      </c>
      <c r="AI294" s="5">
        <f t="shared" si="47"/>
        <v>1.04</v>
      </c>
      <c r="AJ294" s="5">
        <f t="shared" si="47"/>
        <v>1.04</v>
      </c>
    </row>
    <row r="295" spans="1:36">
      <c r="A295" t="str">
        <f>"primary_archetype_"&amp;TEXT(ROUND(Table213[[#This Row],[2016]],1),"0.0")</f>
        <v>primary_archetype_1.0</v>
      </c>
      <c r="B295" s="5">
        <f t="shared" si="44"/>
        <v>1</v>
      </c>
      <c r="C295" s="5">
        <f t="shared" si="49"/>
        <v>1</v>
      </c>
      <c r="D295" s="5">
        <f t="shared" si="49"/>
        <v>1</v>
      </c>
      <c r="E295" s="5">
        <f t="shared" si="49"/>
        <v>1</v>
      </c>
      <c r="F295" s="5">
        <f t="shared" si="49"/>
        <v>1</v>
      </c>
      <c r="G295" s="5">
        <f t="shared" si="49"/>
        <v>1</v>
      </c>
      <c r="H295" s="5">
        <f t="shared" si="49"/>
        <v>1</v>
      </c>
      <c r="I295" s="5">
        <f t="shared" si="49"/>
        <v>1</v>
      </c>
      <c r="J295" s="5">
        <f t="shared" si="49"/>
        <v>1.01</v>
      </c>
      <c r="K295" s="5">
        <f t="shared" si="49"/>
        <v>1.01</v>
      </c>
      <c r="L295" s="5">
        <f t="shared" si="49"/>
        <v>1.01</v>
      </c>
      <c r="M295" s="5">
        <f t="shared" si="49"/>
        <v>1.01</v>
      </c>
      <c r="N295" s="5">
        <f t="shared" si="49"/>
        <v>1.01</v>
      </c>
      <c r="O295" s="5">
        <f t="shared" si="49"/>
        <v>1.01</v>
      </c>
      <c r="P295" s="5">
        <f t="shared" si="49"/>
        <v>1.01</v>
      </c>
      <c r="Q295" s="5">
        <f t="shared" si="49"/>
        <v>1.02</v>
      </c>
      <c r="R295" s="5">
        <f t="shared" si="49"/>
        <v>1.02</v>
      </c>
      <c r="S295" s="5">
        <f t="shared" si="48"/>
        <v>1.02</v>
      </c>
      <c r="T295" s="5">
        <f t="shared" si="48"/>
        <v>1.03</v>
      </c>
      <c r="U295" s="5">
        <f t="shared" si="48"/>
        <v>1.03</v>
      </c>
      <c r="V295" s="5">
        <f t="shared" si="48"/>
        <v>1.03</v>
      </c>
      <c r="W295" s="5">
        <f t="shared" si="48"/>
        <v>1.03</v>
      </c>
      <c r="X295" s="5">
        <f t="shared" si="48"/>
        <v>1.03</v>
      </c>
      <c r="Y295" s="5">
        <f t="shared" si="48"/>
        <v>1.03</v>
      </c>
      <c r="Z295" s="5">
        <f t="shared" si="48"/>
        <v>1.03</v>
      </c>
      <c r="AA295" s="5">
        <f t="shared" si="48"/>
        <v>1.03</v>
      </c>
      <c r="AB295" s="5">
        <f t="shared" si="48"/>
        <v>1.03</v>
      </c>
      <c r="AC295" s="5">
        <f t="shared" si="48"/>
        <v>1.04</v>
      </c>
      <c r="AD295" s="5">
        <f t="shared" si="48"/>
        <v>1.04</v>
      </c>
      <c r="AE295" s="5">
        <f t="shared" si="48"/>
        <v>1.04</v>
      </c>
      <c r="AF295" s="5">
        <f t="shared" si="48"/>
        <v>1.04</v>
      </c>
      <c r="AG295" s="5">
        <f t="shared" si="48"/>
        <v>1.04</v>
      </c>
      <c r="AH295" s="5">
        <f t="shared" si="47"/>
        <v>1.04</v>
      </c>
      <c r="AI295" s="5">
        <f t="shared" si="47"/>
        <v>1.04</v>
      </c>
      <c r="AJ295" s="5">
        <f t="shared" si="47"/>
        <v>1.04</v>
      </c>
    </row>
    <row r="296" spans="1:36">
      <c r="A296" t="s">
        <v>209</v>
      </c>
      <c r="B296" s="5">
        <v>0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</row>
  </sheetData>
  <pageMargins left="0.7" right="0.7" top="0.75" bottom="0.75" header="0.3" footer="0.3"/>
  <pageSetup paperSize="9" orientation="portrait"/>
  <headerFooter/>
  <drawing r:id="rId1"/>
  <tableParts count="2">
    <tablePart r:id="rId2"/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>
    <tabColor theme="9"/>
  </sheetPr>
  <dimension ref="A1:AJ304"/>
  <sheetViews>
    <sheetView workbookViewId="0">
      <selection activeCell="AH304" sqref="AH304:AJ304"/>
    </sheetView>
  </sheetViews>
  <sheetFormatPr defaultColWidth="8.83333333333333" defaultRowHeight="13.5"/>
  <cols>
    <col min="1" max="1" width="47.5" customWidth="1"/>
    <col min="2" max="2" width="12" customWidth="1"/>
  </cols>
  <sheetData>
    <row r="1" spans="1:36">
      <c r="A1" t="s">
        <v>106</v>
      </c>
      <c r="B1" t="s">
        <v>171</v>
      </c>
      <c r="C1" t="s">
        <v>172</v>
      </c>
      <c r="D1" t="s">
        <v>173</v>
      </c>
      <c r="E1" t="s">
        <v>174</v>
      </c>
      <c r="F1" t="s">
        <v>175</v>
      </c>
      <c r="G1" t="s">
        <v>176</v>
      </c>
      <c r="H1" t="s">
        <v>177</v>
      </c>
      <c r="I1" t="s">
        <v>54</v>
      </c>
      <c r="J1" t="s">
        <v>178</v>
      </c>
      <c r="K1" t="s">
        <v>179</v>
      </c>
      <c r="L1" t="s">
        <v>180</v>
      </c>
      <c r="M1" t="s">
        <v>181</v>
      </c>
      <c r="N1" t="s">
        <v>182</v>
      </c>
      <c r="O1" t="s">
        <v>183</v>
      </c>
      <c r="P1" t="s">
        <v>184</v>
      </c>
      <c r="Q1" t="s">
        <v>185</v>
      </c>
      <c r="R1" t="s">
        <v>186</v>
      </c>
      <c r="S1" t="s">
        <v>187</v>
      </c>
      <c r="T1" t="s">
        <v>188</v>
      </c>
      <c r="U1" t="s">
        <v>189</v>
      </c>
      <c r="V1" t="s">
        <v>190</v>
      </c>
      <c r="W1" t="s">
        <v>191</v>
      </c>
      <c r="X1" t="s">
        <v>192</v>
      </c>
      <c r="Y1" t="s">
        <v>193</v>
      </c>
      <c r="Z1" t="s">
        <v>194</v>
      </c>
      <c r="AA1" t="s">
        <v>195</v>
      </c>
      <c r="AB1" t="s">
        <v>196</v>
      </c>
      <c r="AC1" t="s">
        <v>197</v>
      </c>
      <c r="AD1" t="s">
        <v>198</v>
      </c>
      <c r="AE1" t="s">
        <v>199</v>
      </c>
      <c r="AF1" t="s">
        <v>200</v>
      </c>
      <c r="AG1" t="s">
        <v>201</v>
      </c>
      <c r="AH1" t="s">
        <v>202</v>
      </c>
      <c r="AI1" t="s">
        <v>203</v>
      </c>
      <c r="AJ1" t="s">
        <v>204</v>
      </c>
    </row>
    <row r="2" spans="1:36">
      <c r="A2" t="s">
        <v>211</v>
      </c>
      <c r="B2" s="5">
        <f>'Sectoral Slopes'!C20</f>
        <v>8.019518751989</v>
      </c>
      <c r="C2" s="5">
        <f>'Sectoral Slopes'!D20</f>
        <v>8.019518751989</v>
      </c>
      <c r="D2" s="5">
        <f>'Sectoral Slopes'!E20</f>
        <v>8.019518751989</v>
      </c>
      <c r="E2" s="5">
        <f>'Sectoral Slopes'!F20</f>
        <v>7.82718884118299</v>
      </c>
      <c r="F2" s="5">
        <f>'Sectoral Slopes'!G20</f>
        <v>7.36222006488972</v>
      </c>
      <c r="G2" s="5">
        <f>'Sectoral Slopes'!H20</f>
        <v>7.42722383635967</v>
      </c>
      <c r="H2" s="5">
        <f>'Sectoral Slopes'!I20</f>
        <v>7.2253994641217</v>
      </c>
      <c r="I2" s="5">
        <f>'Sectoral Slopes'!J20</f>
        <v>6.83498415647625</v>
      </c>
      <c r="J2" s="5">
        <f>'Sectoral Slopes'!K20</f>
        <v>6.61566842936383</v>
      </c>
      <c r="K2" s="5">
        <f>'Sectoral Slopes'!L20</f>
        <v>6.39053619891348</v>
      </c>
      <c r="L2" s="5">
        <f>'Sectoral Slopes'!M20</f>
        <v>6.03491349281585</v>
      </c>
      <c r="M2" s="5">
        <f>'Sectoral Slopes'!N20</f>
        <v>5.99175195121645</v>
      </c>
      <c r="N2" s="5">
        <f>'Sectoral Slopes'!O20</f>
        <v>5.70036288463635</v>
      </c>
      <c r="O2" s="5">
        <f>'Sectoral Slopes'!P20</f>
        <v>5.39821665318497</v>
      </c>
      <c r="P2" s="5">
        <f>'Sectoral Slopes'!Q20</f>
        <v>5.04101727344669</v>
      </c>
      <c r="Q2" s="5">
        <f>'Sectoral Slopes'!R20</f>
        <v>4.34677869179414</v>
      </c>
      <c r="R2" s="5">
        <f>'Sectoral Slopes'!S20</f>
        <v>3.41022880145298</v>
      </c>
      <c r="S2" s="5">
        <f>'Sectoral Slopes'!T20</f>
        <v>3.11156119621534</v>
      </c>
      <c r="T2" s="5">
        <f>'Sectoral Slopes'!U20</f>
        <v>2.46234189564895</v>
      </c>
      <c r="U2" s="5">
        <f>'Sectoral Slopes'!V20</f>
        <v>1.80807887342226</v>
      </c>
      <c r="V2" s="5">
        <f>'Sectoral Slopes'!W20</f>
        <v>1.68691257717023</v>
      </c>
      <c r="W2" s="5">
        <f>'Sectoral Slopes'!X20</f>
        <v>1.32131347798761</v>
      </c>
      <c r="X2" s="5">
        <f>'Sectoral Slopes'!Y20</f>
        <v>1.13579258703788</v>
      </c>
      <c r="Y2" s="5">
        <f>'Sectoral Slopes'!Z20</f>
        <v>0.942819749865848</v>
      </c>
      <c r="Z2" s="5">
        <f>'Sectoral Slopes'!AA20</f>
        <v>0.912665653281024</v>
      </c>
      <c r="AA2" s="5">
        <f>'Sectoral Slopes'!AB20</f>
        <v>0.824829624928652</v>
      </c>
      <c r="AB2" s="5">
        <f>'Sectoral Slopes'!AC20</f>
        <v>0.696570364797816</v>
      </c>
      <c r="AC2" s="5">
        <f>'Sectoral Slopes'!AD20</f>
        <v>0.591522072645002</v>
      </c>
      <c r="AD2" s="5">
        <f>'Sectoral Slopes'!AE20</f>
        <v>0.574147932491065</v>
      </c>
      <c r="AE2" s="5">
        <f>'Sectoral Slopes'!AF20</f>
        <v>0.503294131354652</v>
      </c>
      <c r="AF2" s="5">
        <f>'Sectoral Slopes'!AG20</f>
        <v>0.459385620315545</v>
      </c>
      <c r="AG2" s="5">
        <f>'Sectoral Slopes'!AH20</f>
        <v>0.426457381574058</v>
      </c>
      <c r="AH2" s="5">
        <f>'Sectoral Slopes'!AI20</f>
        <v>0.303067610332427</v>
      </c>
      <c r="AI2" s="5">
        <f>'Sectoral Slopes'!AJ20</f>
        <v>0.233439529112877</v>
      </c>
      <c r="AJ2" s="5">
        <f>'Sectoral Slopes'!AK20</f>
        <v>0.200241824820087</v>
      </c>
    </row>
    <row r="4" spans="1:36">
      <c r="A4" t="s">
        <v>208</v>
      </c>
      <c r="B4" t="s">
        <v>171</v>
      </c>
      <c r="C4" t="s">
        <v>172</v>
      </c>
      <c r="D4" t="s">
        <v>173</v>
      </c>
      <c r="E4" t="s">
        <v>174</v>
      </c>
      <c r="F4" t="s">
        <v>175</v>
      </c>
      <c r="G4" t="s">
        <v>176</v>
      </c>
      <c r="H4" t="s">
        <v>177</v>
      </c>
      <c r="I4" t="s">
        <v>54</v>
      </c>
      <c r="J4" t="s">
        <v>178</v>
      </c>
      <c r="K4" t="s">
        <v>179</v>
      </c>
      <c r="L4" t="s">
        <v>180</v>
      </c>
      <c r="M4" t="s">
        <v>181</v>
      </c>
      <c r="N4" t="s">
        <v>182</v>
      </c>
      <c r="O4" t="s">
        <v>183</v>
      </c>
      <c r="P4" t="s">
        <v>184</v>
      </c>
      <c r="Q4" t="s">
        <v>185</v>
      </c>
      <c r="R4" t="s">
        <v>186</v>
      </c>
      <c r="S4" t="s">
        <v>187</v>
      </c>
      <c r="T4" t="s">
        <v>188</v>
      </c>
      <c r="U4" t="s">
        <v>189</v>
      </c>
      <c r="V4" t="s">
        <v>190</v>
      </c>
      <c r="W4" t="s">
        <v>191</v>
      </c>
      <c r="X4" t="s">
        <v>192</v>
      </c>
      <c r="Y4" t="s">
        <v>193</v>
      </c>
      <c r="Z4" t="s">
        <v>194</v>
      </c>
      <c r="AA4" t="s">
        <v>195</v>
      </c>
      <c r="AB4" t="s">
        <v>196</v>
      </c>
      <c r="AC4" t="s">
        <v>197</v>
      </c>
      <c r="AD4" t="s">
        <v>198</v>
      </c>
      <c r="AE4" t="s">
        <v>199</v>
      </c>
      <c r="AF4" t="s">
        <v>200</v>
      </c>
      <c r="AG4" t="s">
        <v>201</v>
      </c>
      <c r="AH4" t="s">
        <v>202</v>
      </c>
      <c r="AI4" t="s">
        <v>203</v>
      </c>
      <c r="AJ4" t="s">
        <v>204</v>
      </c>
    </row>
    <row r="5" spans="1:36">
      <c r="A5" t="str">
        <f>"casthouse_procurement_archetype_"&amp;TEXT(ROUND(Table21319[[#This Row],[2016]],1),"0.0")</f>
        <v>casthouse_procurement_archetype_30.0</v>
      </c>
      <c r="B5" s="5">
        <v>30</v>
      </c>
      <c r="C5" s="5">
        <f>MROUND((($B5-$AJ$2)*((C$2-$AJ$2)/($B$2-$AJ$2)))+$AJ$2,0.01)</f>
        <v>30</v>
      </c>
      <c r="D5" s="5">
        <f t="shared" ref="D5:AJ12" si="0">MROUND((($B5-$AJ$2)*((D$2-$AJ$2)/($B$2-$AJ$2)))+$AJ$2,0.01)</f>
        <v>30</v>
      </c>
      <c r="E5" s="5">
        <f t="shared" si="0"/>
        <v>29.27</v>
      </c>
      <c r="F5" s="5">
        <f t="shared" si="0"/>
        <v>27.49</v>
      </c>
      <c r="G5" s="5">
        <f t="shared" si="0"/>
        <v>27.74</v>
      </c>
      <c r="H5" s="5">
        <f t="shared" si="0"/>
        <v>26.97</v>
      </c>
      <c r="I5" s="5">
        <f t="shared" si="0"/>
        <v>25.49</v>
      </c>
      <c r="J5" s="5">
        <f t="shared" si="0"/>
        <v>24.65</v>
      </c>
      <c r="K5" s="5">
        <f t="shared" si="0"/>
        <v>23.79</v>
      </c>
      <c r="L5" s="5">
        <f t="shared" si="0"/>
        <v>22.44</v>
      </c>
      <c r="M5" s="5">
        <f t="shared" si="0"/>
        <v>22.27</v>
      </c>
      <c r="N5" s="5">
        <f t="shared" si="0"/>
        <v>21.16</v>
      </c>
      <c r="O5" s="5">
        <f t="shared" si="0"/>
        <v>20.01</v>
      </c>
      <c r="P5" s="5">
        <f t="shared" si="0"/>
        <v>18.65</v>
      </c>
      <c r="Q5" s="5">
        <f t="shared" si="0"/>
        <v>16</v>
      </c>
      <c r="R5" s="5">
        <f t="shared" si="0"/>
        <v>12.43</v>
      </c>
      <c r="S5" s="5">
        <f t="shared" si="0"/>
        <v>11.3</v>
      </c>
      <c r="T5" s="5">
        <f t="shared" si="0"/>
        <v>8.82</v>
      </c>
      <c r="U5" s="5">
        <f t="shared" si="0"/>
        <v>6.33</v>
      </c>
      <c r="V5" s="5">
        <f t="shared" si="0"/>
        <v>5.87</v>
      </c>
      <c r="W5" s="5">
        <f t="shared" si="0"/>
        <v>4.47</v>
      </c>
      <c r="X5" s="5">
        <f t="shared" si="0"/>
        <v>3.77</v>
      </c>
      <c r="Y5" s="5">
        <f t="shared" si="0"/>
        <v>3.03</v>
      </c>
      <c r="Z5" s="5">
        <f t="shared" si="0"/>
        <v>2.92</v>
      </c>
      <c r="AA5" s="5">
        <f t="shared" si="0"/>
        <v>2.58</v>
      </c>
      <c r="AB5" s="5">
        <f t="shared" si="0"/>
        <v>2.09</v>
      </c>
      <c r="AC5" s="5">
        <f t="shared" si="0"/>
        <v>1.69</v>
      </c>
      <c r="AD5" s="5">
        <f t="shared" si="0"/>
        <v>1.63</v>
      </c>
      <c r="AE5" s="5">
        <f t="shared" si="0"/>
        <v>1.36</v>
      </c>
      <c r="AF5" s="5">
        <f t="shared" si="0"/>
        <v>1.19</v>
      </c>
      <c r="AG5" s="5">
        <f t="shared" si="0"/>
        <v>1.06</v>
      </c>
      <c r="AH5" s="5">
        <f t="shared" si="0"/>
        <v>0.59</v>
      </c>
      <c r="AI5" s="5">
        <f t="shared" si="0"/>
        <v>0.33</v>
      </c>
      <c r="AJ5" s="5">
        <f t="shared" si="0"/>
        <v>0.2</v>
      </c>
    </row>
    <row r="6" spans="1:36">
      <c r="A6" t="str">
        <f>"casthouse_procurement_archetype_"&amp;TEXT(ROUND(Table21319[[#This Row],[2016]],1),"0.0")</f>
        <v>casthouse_procurement_archetype_29.9</v>
      </c>
      <c r="B6" s="5">
        <f>MROUND(B5-0.1,0.1)</f>
        <v>29.9</v>
      </c>
      <c r="C6" s="5">
        <f t="shared" ref="C6:R28" si="1">MROUND((($B6-$AJ$2)*((C$2-$AJ$2)/($B$2-$AJ$2)))+$AJ$2,0.01)</f>
        <v>29.9</v>
      </c>
      <c r="D6" s="5">
        <f t="shared" si="0"/>
        <v>29.9</v>
      </c>
      <c r="E6" s="5">
        <f t="shared" si="0"/>
        <v>29.17</v>
      </c>
      <c r="F6" s="5">
        <f t="shared" si="0"/>
        <v>27.4</v>
      </c>
      <c r="G6" s="5">
        <f t="shared" si="0"/>
        <v>27.65</v>
      </c>
      <c r="H6" s="5">
        <f t="shared" si="0"/>
        <v>26.88</v>
      </c>
      <c r="I6" s="5">
        <f t="shared" si="0"/>
        <v>25.4</v>
      </c>
      <c r="J6" s="5">
        <f t="shared" si="0"/>
        <v>24.57</v>
      </c>
      <c r="K6" s="5">
        <f t="shared" si="0"/>
        <v>23.71</v>
      </c>
      <c r="L6" s="5">
        <f t="shared" si="0"/>
        <v>22.36</v>
      </c>
      <c r="M6" s="5">
        <f t="shared" si="0"/>
        <v>22.2</v>
      </c>
      <c r="N6" s="5">
        <f t="shared" si="0"/>
        <v>21.09</v>
      </c>
      <c r="O6" s="5">
        <f t="shared" si="0"/>
        <v>19.94</v>
      </c>
      <c r="P6" s="5">
        <f t="shared" si="0"/>
        <v>18.59</v>
      </c>
      <c r="Q6" s="5">
        <f t="shared" si="0"/>
        <v>15.95</v>
      </c>
      <c r="R6" s="5">
        <f t="shared" si="0"/>
        <v>12.39</v>
      </c>
      <c r="S6" s="5">
        <f t="shared" si="0"/>
        <v>11.26</v>
      </c>
      <c r="T6" s="5">
        <f t="shared" si="0"/>
        <v>8.79</v>
      </c>
      <c r="U6" s="5">
        <f t="shared" si="0"/>
        <v>6.31</v>
      </c>
      <c r="V6" s="5">
        <f t="shared" si="0"/>
        <v>5.85</v>
      </c>
      <c r="W6" s="5">
        <f t="shared" si="0"/>
        <v>4.46</v>
      </c>
      <c r="X6" s="5">
        <f t="shared" si="0"/>
        <v>3.75</v>
      </c>
      <c r="Y6" s="5">
        <f t="shared" si="0"/>
        <v>3.02</v>
      </c>
      <c r="Z6" s="5">
        <f t="shared" si="0"/>
        <v>2.91</v>
      </c>
      <c r="AA6" s="5">
        <f t="shared" si="0"/>
        <v>2.57</v>
      </c>
      <c r="AB6" s="5">
        <f t="shared" si="0"/>
        <v>2.09</v>
      </c>
      <c r="AC6" s="5">
        <f t="shared" si="0"/>
        <v>1.69</v>
      </c>
      <c r="AD6" s="5">
        <f t="shared" si="0"/>
        <v>1.62</v>
      </c>
      <c r="AE6" s="5">
        <f t="shared" si="0"/>
        <v>1.35</v>
      </c>
      <c r="AF6" s="5">
        <f t="shared" si="0"/>
        <v>1.18</v>
      </c>
      <c r="AG6" s="5">
        <f t="shared" si="0"/>
        <v>1.06</v>
      </c>
      <c r="AH6" s="5">
        <f t="shared" si="0"/>
        <v>0.59</v>
      </c>
      <c r="AI6" s="5">
        <f t="shared" si="0"/>
        <v>0.33</v>
      </c>
      <c r="AJ6" s="5">
        <f t="shared" si="0"/>
        <v>0.2</v>
      </c>
    </row>
    <row r="7" spans="1:36">
      <c r="A7" t="str">
        <f>"casthouse_procurement_archetype_"&amp;TEXT(ROUND(Table21319[[#This Row],[2016]],1),"0.0")</f>
        <v>casthouse_procurement_archetype_29.8</v>
      </c>
      <c r="B7" s="5">
        <f t="shared" ref="B7:B70" si="2">MROUND(B6-0.1,0.1)</f>
        <v>29.8</v>
      </c>
      <c r="C7" s="5">
        <f t="shared" si="1"/>
        <v>29.8</v>
      </c>
      <c r="D7" s="5">
        <f t="shared" si="0"/>
        <v>29.8</v>
      </c>
      <c r="E7" s="5">
        <f t="shared" si="0"/>
        <v>29.07</v>
      </c>
      <c r="F7" s="5">
        <f t="shared" si="0"/>
        <v>27.31</v>
      </c>
      <c r="G7" s="5">
        <f t="shared" si="0"/>
        <v>27.56</v>
      </c>
      <c r="H7" s="5">
        <f t="shared" si="0"/>
        <v>26.79</v>
      </c>
      <c r="I7" s="5">
        <f t="shared" si="0"/>
        <v>25.32</v>
      </c>
      <c r="J7" s="5">
        <f t="shared" si="0"/>
        <v>24.49</v>
      </c>
      <c r="K7" s="5">
        <f t="shared" si="0"/>
        <v>23.63</v>
      </c>
      <c r="L7" s="5">
        <f t="shared" si="0"/>
        <v>22.29</v>
      </c>
      <c r="M7" s="5">
        <f t="shared" si="0"/>
        <v>22.12</v>
      </c>
      <c r="N7" s="5">
        <f t="shared" si="0"/>
        <v>21.02</v>
      </c>
      <c r="O7" s="5">
        <f t="shared" si="0"/>
        <v>19.88</v>
      </c>
      <c r="P7" s="5">
        <f t="shared" si="0"/>
        <v>18.52</v>
      </c>
      <c r="Q7" s="5">
        <f t="shared" si="0"/>
        <v>15.9</v>
      </c>
      <c r="R7" s="5">
        <f t="shared" si="0"/>
        <v>12.35</v>
      </c>
      <c r="S7" s="5">
        <f t="shared" si="0"/>
        <v>11.22</v>
      </c>
      <c r="T7" s="5">
        <f t="shared" si="0"/>
        <v>8.76</v>
      </c>
      <c r="U7" s="5">
        <f t="shared" si="0"/>
        <v>6.29</v>
      </c>
      <c r="V7" s="5">
        <f t="shared" si="0"/>
        <v>5.83</v>
      </c>
      <c r="W7" s="5">
        <f t="shared" si="0"/>
        <v>4.44</v>
      </c>
      <c r="X7" s="5">
        <f t="shared" si="0"/>
        <v>3.74</v>
      </c>
      <c r="Y7" s="5">
        <f t="shared" si="0"/>
        <v>3.01</v>
      </c>
      <c r="Z7" s="5">
        <f t="shared" si="0"/>
        <v>2.9</v>
      </c>
      <c r="AA7" s="5">
        <f t="shared" si="0"/>
        <v>2.56</v>
      </c>
      <c r="AB7" s="5">
        <f t="shared" si="0"/>
        <v>2.08</v>
      </c>
      <c r="AC7" s="5">
        <f t="shared" si="0"/>
        <v>1.68</v>
      </c>
      <c r="AD7" s="5">
        <f t="shared" si="0"/>
        <v>1.62</v>
      </c>
      <c r="AE7" s="5">
        <f t="shared" si="0"/>
        <v>1.35</v>
      </c>
      <c r="AF7" s="5">
        <f t="shared" si="0"/>
        <v>1.18</v>
      </c>
      <c r="AG7" s="5">
        <f t="shared" si="0"/>
        <v>1.06</v>
      </c>
      <c r="AH7" s="5">
        <f t="shared" si="0"/>
        <v>0.59</v>
      </c>
      <c r="AI7" s="5">
        <f t="shared" si="0"/>
        <v>0.33</v>
      </c>
      <c r="AJ7" s="5">
        <f t="shared" si="0"/>
        <v>0.2</v>
      </c>
    </row>
    <row r="8" spans="1:36">
      <c r="A8" t="str">
        <f>"casthouse_procurement_archetype_"&amp;TEXT(ROUND(Table21319[[#This Row],[2016]],1),"0.0")</f>
        <v>casthouse_procurement_archetype_29.7</v>
      </c>
      <c r="B8" s="5">
        <f t="shared" si="2"/>
        <v>29.7</v>
      </c>
      <c r="C8" s="5">
        <f t="shared" si="1"/>
        <v>29.7</v>
      </c>
      <c r="D8" s="5">
        <f t="shared" si="0"/>
        <v>29.7</v>
      </c>
      <c r="E8" s="5">
        <f t="shared" si="0"/>
        <v>28.97</v>
      </c>
      <c r="F8" s="5">
        <f t="shared" si="0"/>
        <v>27.22</v>
      </c>
      <c r="G8" s="5">
        <f t="shared" si="0"/>
        <v>27.47</v>
      </c>
      <c r="H8" s="5">
        <f t="shared" si="0"/>
        <v>26.7</v>
      </c>
      <c r="I8" s="5">
        <f t="shared" si="0"/>
        <v>25.23</v>
      </c>
      <c r="J8" s="5">
        <f t="shared" si="0"/>
        <v>24.4</v>
      </c>
      <c r="K8" s="5">
        <f t="shared" si="0"/>
        <v>23.55</v>
      </c>
      <c r="L8" s="5">
        <f t="shared" si="0"/>
        <v>22.21</v>
      </c>
      <c r="M8" s="5">
        <f t="shared" si="0"/>
        <v>22.05</v>
      </c>
      <c r="N8" s="5">
        <f t="shared" si="0"/>
        <v>20.95</v>
      </c>
      <c r="O8" s="5">
        <f t="shared" si="0"/>
        <v>19.81</v>
      </c>
      <c r="P8" s="5">
        <f t="shared" si="0"/>
        <v>18.46</v>
      </c>
      <c r="Q8" s="5">
        <f t="shared" si="0"/>
        <v>15.84</v>
      </c>
      <c r="R8" s="5">
        <f t="shared" si="0"/>
        <v>12.31</v>
      </c>
      <c r="S8" s="5">
        <f t="shared" si="0"/>
        <v>11.18</v>
      </c>
      <c r="T8" s="5">
        <f t="shared" si="0"/>
        <v>8.73</v>
      </c>
      <c r="U8" s="5">
        <f t="shared" si="0"/>
        <v>6.27</v>
      </c>
      <c r="V8" s="5">
        <f t="shared" si="0"/>
        <v>5.81</v>
      </c>
      <c r="W8" s="5">
        <f t="shared" si="0"/>
        <v>4.43</v>
      </c>
      <c r="X8" s="5">
        <f t="shared" si="0"/>
        <v>3.73</v>
      </c>
      <c r="Y8" s="5">
        <f t="shared" si="0"/>
        <v>3</v>
      </c>
      <c r="Z8" s="5">
        <f t="shared" si="0"/>
        <v>2.89</v>
      </c>
      <c r="AA8" s="5">
        <f t="shared" si="0"/>
        <v>2.56</v>
      </c>
      <c r="AB8" s="5">
        <f t="shared" si="0"/>
        <v>2.07</v>
      </c>
      <c r="AC8" s="5">
        <f t="shared" si="0"/>
        <v>1.68</v>
      </c>
      <c r="AD8" s="5">
        <f t="shared" si="0"/>
        <v>1.61</v>
      </c>
      <c r="AE8" s="5">
        <f t="shared" si="0"/>
        <v>1.34</v>
      </c>
      <c r="AF8" s="5">
        <f t="shared" si="0"/>
        <v>1.18</v>
      </c>
      <c r="AG8" s="5">
        <f t="shared" si="0"/>
        <v>1.05</v>
      </c>
      <c r="AH8" s="5">
        <f t="shared" si="0"/>
        <v>0.59</v>
      </c>
      <c r="AI8" s="5">
        <f t="shared" si="0"/>
        <v>0.33</v>
      </c>
      <c r="AJ8" s="5">
        <f t="shared" si="0"/>
        <v>0.2</v>
      </c>
    </row>
    <row r="9" spans="1:36">
      <c r="A9" t="str">
        <f>"casthouse_procurement_archetype_"&amp;TEXT(ROUND(Table21319[[#This Row],[2016]],1),"0.0")</f>
        <v>casthouse_procurement_archetype_29.6</v>
      </c>
      <c r="B9" s="5">
        <f t="shared" si="2"/>
        <v>29.6</v>
      </c>
      <c r="C9" s="5">
        <f t="shared" si="1"/>
        <v>29.6</v>
      </c>
      <c r="D9" s="5">
        <f t="shared" si="0"/>
        <v>29.6</v>
      </c>
      <c r="E9" s="5">
        <f t="shared" si="0"/>
        <v>28.88</v>
      </c>
      <c r="F9" s="5">
        <f t="shared" si="0"/>
        <v>27.13</v>
      </c>
      <c r="G9" s="5">
        <f t="shared" si="0"/>
        <v>27.37</v>
      </c>
      <c r="H9" s="5">
        <f t="shared" si="0"/>
        <v>26.61</v>
      </c>
      <c r="I9" s="5">
        <f t="shared" si="0"/>
        <v>25.15</v>
      </c>
      <c r="J9" s="5">
        <f t="shared" si="0"/>
        <v>24.32</v>
      </c>
      <c r="K9" s="5">
        <f t="shared" si="0"/>
        <v>23.48</v>
      </c>
      <c r="L9" s="5">
        <f t="shared" si="0"/>
        <v>22.14</v>
      </c>
      <c r="M9" s="5">
        <f t="shared" si="0"/>
        <v>21.98</v>
      </c>
      <c r="N9" s="5">
        <f t="shared" si="0"/>
        <v>20.88</v>
      </c>
      <c r="O9" s="5">
        <f t="shared" si="0"/>
        <v>19.74</v>
      </c>
      <c r="P9" s="5">
        <f t="shared" si="0"/>
        <v>18.4</v>
      </c>
      <c r="Q9" s="5">
        <f t="shared" si="0"/>
        <v>15.79</v>
      </c>
      <c r="R9" s="5">
        <f t="shared" si="0"/>
        <v>12.27</v>
      </c>
      <c r="S9" s="5">
        <f t="shared" si="0"/>
        <v>11.15</v>
      </c>
      <c r="T9" s="5">
        <f t="shared" si="0"/>
        <v>8.71</v>
      </c>
      <c r="U9" s="5">
        <f t="shared" si="0"/>
        <v>6.25</v>
      </c>
      <c r="V9" s="5">
        <f t="shared" si="0"/>
        <v>5.79</v>
      </c>
      <c r="W9" s="5">
        <f t="shared" si="0"/>
        <v>4.42</v>
      </c>
      <c r="X9" s="5">
        <f t="shared" si="0"/>
        <v>3.72</v>
      </c>
      <c r="Y9" s="5">
        <f t="shared" si="0"/>
        <v>2.99</v>
      </c>
      <c r="Z9" s="5">
        <f t="shared" si="0"/>
        <v>2.88</v>
      </c>
      <c r="AA9" s="5">
        <f t="shared" si="0"/>
        <v>2.55</v>
      </c>
      <c r="AB9" s="5">
        <f t="shared" si="0"/>
        <v>2.07</v>
      </c>
      <c r="AC9" s="5">
        <f t="shared" si="0"/>
        <v>1.67</v>
      </c>
      <c r="AD9" s="5">
        <f t="shared" si="0"/>
        <v>1.61</v>
      </c>
      <c r="AE9" s="5">
        <f t="shared" si="0"/>
        <v>1.34</v>
      </c>
      <c r="AF9" s="5">
        <f t="shared" si="0"/>
        <v>1.17</v>
      </c>
      <c r="AG9" s="5">
        <f t="shared" si="0"/>
        <v>1.05</v>
      </c>
      <c r="AH9" s="5">
        <f t="shared" si="0"/>
        <v>0.59</v>
      </c>
      <c r="AI9" s="5">
        <f t="shared" si="0"/>
        <v>0.33</v>
      </c>
      <c r="AJ9" s="5">
        <f t="shared" si="0"/>
        <v>0.2</v>
      </c>
    </row>
    <row r="10" spans="1:36">
      <c r="A10" t="str">
        <f>"casthouse_procurement_archetype_"&amp;TEXT(ROUND(Table21319[[#This Row],[2016]],1),"0.0")</f>
        <v>casthouse_procurement_archetype_29.5</v>
      </c>
      <c r="B10" s="5">
        <f t="shared" si="2"/>
        <v>29.5</v>
      </c>
      <c r="C10" s="5">
        <f t="shared" si="1"/>
        <v>29.5</v>
      </c>
      <c r="D10" s="5">
        <f t="shared" si="0"/>
        <v>29.5</v>
      </c>
      <c r="E10" s="5">
        <f t="shared" si="0"/>
        <v>28.78</v>
      </c>
      <c r="F10" s="5">
        <f t="shared" si="0"/>
        <v>27.04</v>
      </c>
      <c r="G10" s="5">
        <f t="shared" si="0"/>
        <v>27.28</v>
      </c>
      <c r="H10" s="5">
        <f t="shared" si="0"/>
        <v>26.52</v>
      </c>
      <c r="I10" s="5">
        <f t="shared" si="0"/>
        <v>25.06</v>
      </c>
      <c r="J10" s="5">
        <f t="shared" si="0"/>
        <v>24.24</v>
      </c>
      <c r="K10" s="5">
        <f t="shared" si="0"/>
        <v>23.4</v>
      </c>
      <c r="L10" s="5">
        <f t="shared" si="0"/>
        <v>22.06</v>
      </c>
      <c r="M10" s="5">
        <f t="shared" si="0"/>
        <v>21.9</v>
      </c>
      <c r="N10" s="5">
        <f t="shared" si="0"/>
        <v>20.81</v>
      </c>
      <c r="O10" s="5">
        <f t="shared" si="0"/>
        <v>19.68</v>
      </c>
      <c r="P10" s="5">
        <f t="shared" si="0"/>
        <v>18.34</v>
      </c>
      <c r="Q10" s="5">
        <f t="shared" si="0"/>
        <v>15.74</v>
      </c>
      <c r="R10" s="5">
        <f t="shared" si="0"/>
        <v>12.23</v>
      </c>
      <c r="S10" s="5">
        <f t="shared" si="0"/>
        <v>11.11</v>
      </c>
      <c r="T10" s="5">
        <f t="shared" si="0"/>
        <v>8.68</v>
      </c>
      <c r="U10" s="5">
        <f t="shared" si="0"/>
        <v>6.22</v>
      </c>
      <c r="V10" s="5">
        <f t="shared" si="0"/>
        <v>5.77</v>
      </c>
      <c r="W10" s="5">
        <f t="shared" si="0"/>
        <v>4.4</v>
      </c>
      <c r="X10" s="5">
        <f t="shared" si="0"/>
        <v>3.71</v>
      </c>
      <c r="Y10" s="5">
        <f t="shared" si="0"/>
        <v>2.98</v>
      </c>
      <c r="Z10" s="5">
        <f t="shared" si="0"/>
        <v>2.87</v>
      </c>
      <c r="AA10" s="5">
        <f t="shared" si="0"/>
        <v>2.54</v>
      </c>
      <c r="AB10" s="5">
        <f t="shared" si="0"/>
        <v>2.06</v>
      </c>
      <c r="AC10" s="5">
        <f t="shared" si="0"/>
        <v>1.67</v>
      </c>
      <c r="AD10" s="5">
        <f t="shared" si="0"/>
        <v>1.6</v>
      </c>
      <c r="AE10" s="5">
        <f t="shared" si="0"/>
        <v>1.34</v>
      </c>
      <c r="AF10" s="5">
        <f t="shared" si="0"/>
        <v>1.17</v>
      </c>
      <c r="AG10" s="5">
        <f t="shared" si="0"/>
        <v>1.05</v>
      </c>
      <c r="AH10" s="5">
        <f t="shared" si="0"/>
        <v>0.59</v>
      </c>
      <c r="AI10" s="5">
        <f t="shared" si="0"/>
        <v>0.32</v>
      </c>
      <c r="AJ10" s="5">
        <f t="shared" si="0"/>
        <v>0.2</v>
      </c>
    </row>
    <row r="11" spans="1:36">
      <c r="A11" t="str">
        <f>"casthouse_procurement_archetype_"&amp;TEXT(ROUND(Table21319[[#This Row],[2016]],1),"0.0")</f>
        <v>casthouse_procurement_archetype_29.4</v>
      </c>
      <c r="B11" s="5">
        <f t="shared" si="2"/>
        <v>29.4</v>
      </c>
      <c r="C11" s="5">
        <f t="shared" si="1"/>
        <v>29.4</v>
      </c>
      <c r="D11" s="5">
        <f t="shared" si="0"/>
        <v>29.4</v>
      </c>
      <c r="E11" s="5">
        <f t="shared" si="0"/>
        <v>28.68</v>
      </c>
      <c r="F11" s="5">
        <f t="shared" si="0"/>
        <v>26.95</v>
      </c>
      <c r="G11" s="5">
        <f t="shared" si="0"/>
        <v>27.19</v>
      </c>
      <c r="H11" s="5">
        <f t="shared" si="0"/>
        <v>26.43</v>
      </c>
      <c r="I11" s="5">
        <f t="shared" si="0"/>
        <v>24.98</v>
      </c>
      <c r="J11" s="5">
        <f t="shared" si="0"/>
        <v>24.16</v>
      </c>
      <c r="K11" s="5">
        <f t="shared" si="0"/>
        <v>23.32</v>
      </c>
      <c r="L11" s="5">
        <f t="shared" si="0"/>
        <v>21.99</v>
      </c>
      <c r="M11" s="5">
        <f t="shared" si="0"/>
        <v>21.83</v>
      </c>
      <c r="N11" s="5">
        <f t="shared" si="0"/>
        <v>20.74</v>
      </c>
      <c r="O11" s="5">
        <f t="shared" si="0"/>
        <v>19.61</v>
      </c>
      <c r="P11" s="5">
        <f t="shared" si="0"/>
        <v>18.28</v>
      </c>
      <c r="Q11" s="5">
        <f t="shared" si="0"/>
        <v>15.68</v>
      </c>
      <c r="R11" s="5">
        <f t="shared" si="0"/>
        <v>12.19</v>
      </c>
      <c r="S11" s="5">
        <f t="shared" si="0"/>
        <v>11.07</v>
      </c>
      <c r="T11" s="5">
        <f t="shared" si="0"/>
        <v>8.65</v>
      </c>
      <c r="U11" s="5">
        <f t="shared" si="0"/>
        <v>6.2</v>
      </c>
      <c r="V11" s="5">
        <f t="shared" si="0"/>
        <v>5.75</v>
      </c>
      <c r="W11" s="5">
        <f t="shared" si="0"/>
        <v>4.39</v>
      </c>
      <c r="X11" s="5">
        <f t="shared" si="0"/>
        <v>3.69</v>
      </c>
      <c r="Y11" s="5">
        <f t="shared" si="0"/>
        <v>2.97</v>
      </c>
      <c r="Z11" s="5">
        <f t="shared" si="0"/>
        <v>2.86</v>
      </c>
      <c r="AA11" s="5">
        <f t="shared" si="0"/>
        <v>2.53</v>
      </c>
      <c r="AB11" s="5">
        <f t="shared" si="0"/>
        <v>2.05</v>
      </c>
      <c r="AC11" s="5">
        <f t="shared" si="0"/>
        <v>1.66</v>
      </c>
      <c r="AD11" s="5">
        <f t="shared" si="0"/>
        <v>1.6</v>
      </c>
      <c r="AE11" s="5">
        <f t="shared" si="0"/>
        <v>1.33</v>
      </c>
      <c r="AF11" s="5">
        <f t="shared" si="0"/>
        <v>1.17</v>
      </c>
      <c r="AG11" s="5">
        <f t="shared" si="0"/>
        <v>1.05</v>
      </c>
      <c r="AH11" s="5">
        <f t="shared" si="0"/>
        <v>0.58</v>
      </c>
      <c r="AI11" s="5">
        <f t="shared" si="0"/>
        <v>0.32</v>
      </c>
      <c r="AJ11" s="5">
        <f t="shared" si="0"/>
        <v>0.2</v>
      </c>
    </row>
    <row r="12" spans="1:36">
      <c r="A12" t="str">
        <f>"casthouse_procurement_archetype_"&amp;TEXT(ROUND(Table21319[[#This Row],[2016]],1),"0.0")</f>
        <v>casthouse_procurement_archetype_29.3</v>
      </c>
      <c r="B12" s="5">
        <f t="shared" si="2"/>
        <v>29.3</v>
      </c>
      <c r="C12" s="5">
        <f t="shared" si="1"/>
        <v>29.3</v>
      </c>
      <c r="D12" s="5">
        <f t="shared" si="0"/>
        <v>29.3</v>
      </c>
      <c r="E12" s="5">
        <f t="shared" si="0"/>
        <v>28.58</v>
      </c>
      <c r="F12" s="5">
        <f t="shared" si="0"/>
        <v>26.85</v>
      </c>
      <c r="G12" s="5">
        <f t="shared" si="0"/>
        <v>27.1</v>
      </c>
      <c r="H12" s="5">
        <f t="shared" si="0"/>
        <v>26.34</v>
      </c>
      <c r="I12" s="5">
        <f t="shared" si="0"/>
        <v>24.89</v>
      </c>
      <c r="J12" s="5">
        <f t="shared" si="0"/>
        <v>24.08</v>
      </c>
      <c r="K12" s="5">
        <f t="shared" si="0"/>
        <v>23.24</v>
      </c>
      <c r="L12" s="5">
        <f t="shared" si="0"/>
        <v>21.91</v>
      </c>
      <c r="M12" s="5">
        <f t="shared" si="0"/>
        <v>21.75</v>
      </c>
      <c r="N12" s="5">
        <f t="shared" si="0"/>
        <v>20.67</v>
      </c>
      <c r="O12" s="5">
        <f t="shared" si="0"/>
        <v>19.54</v>
      </c>
      <c r="P12" s="5">
        <f t="shared" si="0"/>
        <v>18.22</v>
      </c>
      <c r="Q12" s="5">
        <f t="shared" si="0"/>
        <v>15.63</v>
      </c>
      <c r="R12" s="5">
        <f t="shared" si="0"/>
        <v>12.15</v>
      </c>
      <c r="S12" s="5">
        <f t="shared" si="0"/>
        <v>11.03</v>
      </c>
      <c r="T12" s="5">
        <f t="shared" si="0"/>
        <v>8.62</v>
      </c>
      <c r="U12" s="5">
        <f t="shared" si="0"/>
        <v>6.18</v>
      </c>
      <c r="V12" s="5">
        <f t="shared" si="0"/>
        <v>5.73</v>
      </c>
      <c r="W12" s="5">
        <f t="shared" si="0"/>
        <v>4.37</v>
      </c>
      <c r="X12" s="5">
        <f t="shared" si="0"/>
        <v>3.68</v>
      </c>
      <c r="Y12" s="5">
        <f t="shared" si="0"/>
        <v>2.96</v>
      </c>
      <c r="Z12" s="5">
        <f t="shared" si="0"/>
        <v>2.85</v>
      </c>
      <c r="AA12" s="5">
        <f t="shared" si="0"/>
        <v>2.52</v>
      </c>
      <c r="AB12" s="5">
        <f t="shared" ref="AB12:AJ28" si="3">MROUND((($B12-$AJ$2)*((AB$2-$AJ$2)/($B$2-$AJ$2)))+$AJ$2,0.01)</f>
        <v>2.05</v>
      </c>
      <c r="AC12" s="5">
        <f t="shared" si="3"/>
        <v>1.66</v>
      </c>
      <c r="AD12" s="5">
        <f t="shared" si="3"/>
        <v>1.59</v>
      </c>
      <c r="AE12" s="5">
        <f t="shared" si="3"/>
        <v>1.33</v>
      </c>
      <c r="AF12" s="5">
        <f t="shared" si="3"/>
        <v>1.16</v>
      </c>
      <c r="AG12" s="5">
        <f t="shared" si="3"/>
        <v>1.04</v>
      </c>
      <c r="AH12" s="5">
        <f t="shared" si="3"/>
        <v>0.58</v>
      </c>
      <c r="AI12" s="5">
        <f t="shared" si="3"/>
        <v>0.32</v>
      </c>
      <c r="AJ12" s="5">
        <f t="shared" si="3"/>
        <v>0.2</v>
      </c>
    </row>
    <row r="13" spans="1:36">
      <c r="A13" t="str">
        <f>"casthouse_procurement_archetype_"&amp;TEXT(ROUND(Table21319[[#This Row],[2016]],1),"0.0")</f>
        <v>casthouse_procurement_archetype_29.2</v>
      </c>
      <c r="B13" s="5">
        <f t="shared" si="2"/>
        <v>29.2</v>
      </c>
      <c r="C13" s="5">
        <f t="shared" si="1"/>
        <v>29.2</v>
      </c>
      <c r="D13" s="5">
        <f t="shared" si="1"/>
        <v>29.2</v>
      </c>
      <c r="E13" s="5">
        <f t="shared" si="1"/>
        <v>28.49</v>
      </c>
      <c r="F13" s="5">
        <f t="shared" si="1"/>
        <v>26.76</v>
      </c>
      <c r="G13" s="5">
        <f t="shared" si="1"/>
        <v>27</v>
      </c>
      <c r="H13" s="5">
        <f t="shared" si="1"/>
        <v>26.25</v>
      </c>
      <c r="I13" s="5">
        <f t="shared" si="1"/>
        <v>24.81</v>
      </c>
      <c r="J13" s="5">
        <f t="shared" si="1"/>
        <v>23.99</v>
      </c>
      <c r="K13" s="5">
        <f t="shared" si="1"/>
        <v>23.16</v>
      </c>
      <c r="L13" s="5">
        <f t="shared" si="1"/>
        <v>21.84</v>
      </c>
      <c r="M13" s="5">
        <f t="shared" si="1"/>
        <v>21.68</v>
      </c>
      <c r="N13" s="5">
        <f t="shared" si="1"/>
        <v>20.6</v>
      </c>
      <c r="O13" s="5">
        <f t="shared" si="1"/>
        <v>19.48</v>
      </c>
      <c r="P13" s="5">
        <f t="shared" si="1"/>
        <v>18.15</v>
      </c>
      <c r="Q13" s="5">
        <f t="shared" si="1"/>
        <v>15.58</v>
      </c>
      <c r="R13" s="5">
        <f t="shared" si="1"/>
        <v>12.11</v>
      </c>
      <c r="S13" s="5">
        <f t="shared" ref="S13:AH29" si="4">MROUND((($B13-$AJ$2)*((S$2-$AJ$2)/($B$2-$AJ$2)))+$AJ$2,0.01)</f>
        <v>11</v>
      </c>
      <c r="T13" s="5">
        <f t="shared" si="4"/>
        <v>8.59</v>
      </c>
      <c r="U13" s="5">
        <f t="shared" si="4"/>
        <v>6.16</v>
      </c>
      <c r="V13" s="5">
        <f t="shared" si="4"/>
        <v>5.71</v>
      </c>
      <c r="W13" s="5">
        <f t="shared" si="4"/>
        <v>4.36</v>
      </c>
      <c r="X13" s="5">
        <f t="shared" si="4"/>
        <v>3.67</v>
      </c>
      <c r="Y13" s="5">
        <f t="shared" si="4"/>
        <v>2.95</v>
      </c>
      <c r="Z13" s="5">
        <f t="shared" si="4"/>
        <v>2.84</v>
      </c>
      <c r="AA13" s="5">
        <f t="shared" si="4"/>
        <v>2.52</v>
      </c>
      <c r="AB13" s="5">
        <f t="shared" si="4"/>
        <v>2.04</v>
      </c>
      <c r="AC13" s="5">
        <f t="shared" si="4"/>
        <v>1.65</v>
      </c>
      <c r="AD13" s="5">
        <f t="shared" si="4"/>
        <v>1.59</v>
      </c>
      <c r="AE13" s="5">
        <f t="shared" si="4"/>
        <v>1.32</v>
      </c>
      <c r="AF13" s="5">
        <f t="shared" si="4"/>
        <v>1.16</v>
      </c>
      <c r="AG13" s="5">
        <f t="shared" si="4"/>
        <v>1.04</v>
      </c>
      <c r="AH13" s="5">
        <f t="shared" si="4"/>
        <v>0.58</v>
      </c>
      <c r="AI13" s="5">
        <f t="shared" si="3"/>
        <v>0.32</v>
      </c>
      <c r="AJ13" s="5">
        <f t="shared" si="3"/>
        <v>0.2</v>
      </c>
    </row>
    <row r="14" spans="1:36">
      <c r="A14" t="str">
        <f>"casthouse_procurement_archetype_"&amp;TEXT(ROUND(Table21319[[#This Row],[2016]],1),"0.0")</f>
        <v>casthouse_procurement_archetype_29.1</v>
      </c>
      <c r="B14" s="5">
        <f t="shared" si="2"/>
        <v>29.1</v>
      </c>
      <c r="C14" s="5">
        <f t="shared" si="1"/>
        <v>29.1</v>
      </c>
      <c r="D14" s="5">
        <f t="shared" si="1"/>
        <v>29.1</v>
      </c>
      <c r="E14" s="5">
        <f t="shared" si="1"/>
        <v>28.39</v>
      </c>
      <c r="F14" s="5">
        <f t="shared" si="1"/>
        <v>26.67</v>
      </c>
      <c r="G14" s="5">
        <f t="shared" si="1"/>
        <v>26.91</v>
      </c>
      <c r="H14" s="5">
        <f t="shared" si="1"/>
        <v>26.16</v>
      </c>
      <c r="I14" s="5">
        <f t="shared" si="1"/>
        <v>24.72</v>
      </c>
      <c r="J14" s="5">
        <f t="shared" si="1"/>
        <v>23.91</v>
      </c>
      <c r="K14" s="5">
        <f t="shared" si="1"/>
        <v>23.08</v>
      </c>
      <c r="L14" s="5">
        <f t="shared" si="1"/>
        <v>21.76</v>
      </c>
      <c r="M14" s="5">
        <f t="shared" si="1"/>
        <v>21.61</v>
      </c>
      <c r="N14" s="5">
        <f t="shared" si="1"/>
        <v>20.53</v>
      </c>
      <c r="O14" s="5">
        <f t="shared" si="1"/>
        <v>19.41</v>
      </c>
      <c r="P14" s="5">
        <f t="shared" si="1"/>
        <v>18.09</v>
      </c>
      <c r="Q14" s="5">
        <f t="shared" si="1"/>
        <v>15.53</v>
      </c>
      <c r="R14" s="5">
        <f t="shared" si="1"/>
        <v>12.06</v>
      </c>
      <c r="S14" s="5">
        <f t="shared" si="4"/>
        <v>10.96</v>
      </c>
      <c r="T14" s="5">
        <f t="shared" si="4"/>
        <v>8.56</v>
      </c>
      <c r="U14" s="5">
        <f t="shared" si="4"/>
        <v>6.14</v>
      </c>
      <c r="V14" s="5">
        <f t="shared" si="4"/>
        <v>5.69</v>
      </c>
      <c r="W14" s="5">
        <f t="shared" si="4"/>
        <v>4.34</v>
      </c>
      <c r="X14" s="5">
        <f t="shared" si="4"/>
        <v>3.66</v>
      </c>
      <c r="Y14" s="5">
        <f t="shared" si="4"/>
        <v>2.94</v>
      </c>
      <c r="Z14" s="5">
        <f t="shared" si="4"/>
        <v>2.83</v>
      </c>
      <c r="AA14" s="5">
        <f t="shared" si="4"/>
        <v>2.51</v>
      </c>
      <c r="AB14" s="5">
        <f t="shared" si="4"/>
        <v>2.03</v>
      </c>
      <c r="AC14" s="5">
        <f t="shared" si="4"/>
        <v>1.65</v>
      </c>
      <c r="AD14" s="5">
        <f t="shared" si="4"/>
        <v>1.58</v>
      </c>
      <c r="AE14" s="5">
        <f t="shared" si="4"/>
        <v>1.32</v>
      </c>
      <c r="AF14" s="5">
        <f t="shared" si="4"/>
        <v>1.16</v>
      </c>
      <c r="AG14" s="5">
        <f t="shared" si="4"/>
        <v>1.04</v>
      </c>
      <c r="AH14" s="5">
        <f t="shared" si="4"/>
        <v>0.58</v>
      </c>
      <c r="AI14" s="5">
        <f t="shared" si="3"/>
        <v>0.32</v>
      </c>
      <c r="AJ14" s="5">
        <f t="shared" si="3"/>
        <v>0.2</v>
      </c>
    </row>
    <row r="15" spans="1:36">
      <c r="A15" t="str">
        <f>"casthouse_procurement_archetype_"&amp;TEXT(ROUND(Table21319[[#This Row],[2016]],1),"0.0")</f>
        <v>casthouse_procurement_archetype_29.0</v>
      </c>
      <c r="B15" s="5">
        <f t="shared" si="2"/>
        <v>29</v>
      </c>
      <c r="C15" s="5">
        <f t="shared" si="1"/>
        <v>29</v>
      </c>
      <c r="D15" s="5">
        <f t="shared" si="1"/>
        <v>29</v>
      </c>
      <c r="E15" s="5">
        <f t="shared" si="1"/>
        <v>28.29</v>
      </c>
      <c r="F15" s="5">
        <f t="shared" si="1"/>
        <v>26.58</v>
      </c>
      <c r="G15" s="5">
        <f t="shared" si="1"/>
        <v>26.82</v>
      </c>
      <c r="H15" s="5">
        <f t="shared" si="1"/>
        <v>26.08</v>
      </c>
      <c r="I15" s="5">
        <f t="shared" si="1"/>
        <v>24.64</v>
      </c>
      <c r="J15" s="5">
        <f t="shared" si="1"/>
        <v>23.83</v>
      </c>
      <c r="K15" s="5">
        <f t="shared" si="1"/>
        <v>23</v>
      </c>
      <c r="L15" s="5">
        <f t="shared" si="1"/>
        <v>21.69</v>
      </c>
      <c r="M15" s="5">
        <f t="shared" si="1"/>
        <v>21.53</v>
      </c>
      <c r="N15" s="5">
        <f t="shared" si="1"/>
        <v>20.46</v>
      </c>
      <c r="O15" s="5">
        <f t="shared" si="1"/>
        <v>19.35</v>
      </c>
      <c r="P15" s="5">
        <f t="shared" si="1"/>
        <v>18.03</v>
      </c>
      <c r="Q15" s="5">
        <f t="shared" si="1"/>
        <v>15.47</v>
      </c>
      <c r="R15" s="5">
        <f t="shared" si="1"/>
        <v>12.02</v>
      </c>
      <c r="S15" s="5">
        <f t="shared" si="4"/>
        <v>10.92</v>
      </c>
      <c r="T15" s="5">
        <f t="shared" si="4"/>
        <v>8.53</v>
      </c>
      <c r="U15" s="5">
        <f t="shared" si="4"/>
        <v>6.12</v>
      </c>
      <c r="V15" s="5">
        <f t="shared" si="4"/>
        <v>5.68</v>
      </c>
      <c r="W15" s="5">
        <f t="shared" si="4"/>
        <v>4.33</v>
      </c>
      <c r="X15" s="5">
        <f t="shared" si="4"/>
        <v>3.65</v>
      </c>
      <c r="Y15" s="5">
        <f t="shared" si="4"/>
        <v>2.94</v>
      </c>
      <c r="Z15" s="5">
        <f t="shared" si="4"/>
        <v>2.82</v>
      </c>
      <c r="AA15" s="5">
        <f t="shared" si="4"/>
        <v>2.5</v>
      </c>
      <c r="AB15" s="5">
        <f t="shared" si="4"/>
        <v>2.03</v>
      </c>
      <c r="AC15" s="5">
        <f t="shared" si="4"/>
        <v>1.64</v>
      </c>
      <c r="AD15" s="5">
        <f t="shared" si="4"/>
        <v>1.58</v>
      </c>
      <c r="AE15" s="5">
        <f t="shared" si="4"/>
        <v>1.32</v>
      </c>
      <c r="AF15" s="5">
        <f t="shared" si="4"/>
        <v>1.15</v>
      </c>
      <c r="AG15" s="5">
        <f t="shared" si="4"/>
        <v>1.03</v>
      </c>
      <c r="AH15" s="5">
        <f t="shared" si="4"/>
        <v>0.58</v>
      </c>
      <c r="AI15" s="5">
        <f t="shared" si="3"/>
        <v>0.32</v>
      </c>
      <c r="AJ15" s="5">
        <f t="shared" si="3"/>
        <v>0.2</v>
      </c>
    </row>
    <row r="16" spans="1:36">
      <c r="A16" t="str">
        <f>"casthouse_procurement_archetype_"&amp;TEXT(ROUND(Table21319[[#This Row],[2016]],1),"0.0")</f>
        <v>casthouse_procurement_archetype_28.9</v>
      </c>
      <c r="B16" s="5">
        <f t="shared" si="2"/>
        <v>28.9</v>
      </c>
      <c r="C16" s="5">
        <f t="shared" si="1"/>
        <v>28.9</v>
      </c>
      <c r="D16" s="5">
        <f t="shared" si="1"/>
        <v>28.9</v>
      </c>
      <c r="E16" s="5">
        <f t="shared" si="1"/>
        <v>28.19</v>
      </c>
      <c r="F16" s="5">
        <f t="shared" si="1"/>
        <v>26.49</v>
      </c>
      <c r="G16" s="5">
        <f t="shared" si="1"/>
        <v>26.73</v>
      </c>
      <c r="H16" s="5">
        <f t="shared" si="1"/>
        <v>25.99</v>
      </c>
      <c r="I16" s="5">
        <f t="shared" si="1"/>
        <v>24.55</v>
      </c>
      <c r="J16" s="5">
        <f t="shared" si="1"/>
        <v>23.75</v>
      </c>
      <c r="K16" s="5">
        <f t="shared" si="1"/>
        <v>22.92</v>
      </c>
      <c r="L16" s="5">
        <f t="shared" si="1"/>
        <v>21.62</v>
      </c>
      <c r="M16" s="5">
        <f t="shared" si="1"/>
        <v>21.46</v>
      </c>
      <c r="N16" s="5">
        <f t="shared" si="1"/>
        <v>20.39</v>
      </c>
      <c r="O16" s="5">
        <f t="shared" si="1"/>
        <v>19.28</v>
      </c>
      <c r="P16" s="5">
        <f t="shared" si="1"/>
        <v>17.97</v>
      </c>
      <c r="Q16" s="5">
        <f t="shared" si="1"/>
        <v>15.42</v>
      </c>
      <c r="R16" s="5">
        <f t="shared" si="1"/>
        <v>11.98</v>
      </c>
      <c r="S16" s="5">
        <f t="shared" si="4"/>
        <v>10.89</v>
      </c>
      <c r="T16" s="5">
        <f t="shared" si="4"/>
        <v>8.5</v>
      </c>
      <c r="U16" s="5">
        <f t="shared" si="4"/>
        <v>6.1</v>
      </c>
      <c r="V16" s="5">
        <f t="shared" si="4"/>
        <v>5.66</v>
      </c>
      <c r="W16" s="5">
        <f t="shared" si="4"/>
        <v>4.32</v>
      </c>
      <c r="X16" s="5">
        <f t="shared" si="4"/>
        <v>3.63</v>
      </c>
      <c r="Y16" s="5">
        <f t="shared" si="4"/>
        <v>2.93</v>
      </c>
      <c r="Z16" s="5">
        <f t="shared" si="4"/>
        <v>2.82</v>
      </c>
      <c r="AA16" s="5">
        <f t="shared" si="4"/>
        <v>2.49</v>
      </c>
      <c r="AB16" s="5">
        <f t="shared" si="4"/>
        <v>2.02</v>
      </c>
      <c r="AC16" s="5">
        <f t="shared" si="4"/>
        <v>1.64</v>
      </c>
      <c r="AD16" s="5">
        <f t="shared" si="4"/>
        <v>1.57</v>
      </c>
      <c r="AE16" s="5">
        <f t="shared" si="4"/>
        <v>1.31</v>
      </c>
      <c r="AF16" s="5">
        <f t="shared" si="4"/>
        <v>1.15</v>
      </c>
      <c r="AG16" s="5">
        <f t="shared" si="4"/>
        <v>1.03</v>
      </c>
      <c r="AH16" s="5">
        <f t="shared" si="4"/>
        <v>0.58</v>
      </c>
      <c r="AI16" s="5">
        <f t="shared" si="3"/>
        <v>0.32</v>
      </c>
      <c r="AJ16" s="5">
        <f t="shared" si="3"/>
        <v>0.2</v>
      </c>
    </row>
    <row r="17" spans="1:36">
      <c r="A17" t="str">
        <f>"casthouse_procurement_archetype_"&amp;TEXT(ROUND(Table21319[[#This Row],[2016]],1),"0.0")</f>
        <v>casthouse_procurement_archetype_28.8</v>
      </c>
      <c r="B17" s="5">
        <f t="shared" si="2"/>
        <v>28.8</v>
      </c>
      <c r="C17" s="5">
        <f t="shared" si="1"/>
        <v>28.8</v>
      </c>
      <c r="D17" s="5">
        <f t="shared" si="1"/>
        <v>28.8</v>
      </c>
      <c r="E17" s="5">
        <f t="shared" si="1"/>
        <v>28.1</v>
      </c>
      <c r="F17" s="5">
        <f t="shared" si="1"/>
        <v>26.4</v>
      </c>
      <c r="G17" s="5">
        <f t="shared" si="1"/>
        <v>26.63</v>
      </c>
      <c r="H17" s="5">
        <f t="shared" si="1"/>
        <v>25.9</v>
      </c>
      <c r="I17" s="5">
        <f t="shared" si="1"/>
        <v>24.47</v>
      </c>
      <c r="J17" s="5">
        <f t="shared" si="1"/>
        <v>23.67</v>
      </c>
      <c r="K17" s="5">
        <f t="shared" si="1"/>
        <v>22.84</v>
      </c>
      <c r="L17" s="5">
        <f t="shared" si="1"/>
        <v>21.54</v>
      </c>
      <c r="M17" s="5">
        <f t="shared" si="1"/>
        <v>21.38</v>
      </c>
      <c r="N17" s="5">
        <f t="shared" si="1"/>
        <v>20.32</v>
      </c>
      <c r="O17" s="5">
        <f t="shared" si="1"/>
        <v>19.21</v>
      </c>
      <c r="P17" s="5">
        <f t="shared" si="1"/>
        <v>17.91</v>
      </c>
      <c r="Q17" s="5">
        <f t="shared" si="1"/>
        <v>15.37</v>
      </c>
      <c r="R17" s="5">
        <f t="shared" si="1"/>
        <v>11.94</v>
      </c>
      <c r="S17" s="5">
        <f t="shared" si="4"/>
        <v>10.85</v>
      </c>
      <c r="T17" s="5">
        <f t="shared" si="4"/>
        <v>8.47</v>
      </c>
      <c r="U17" s="5">
        <f t="shared" si="4"/>
        <v>6.08</v>
      </c>
      <c r="V17" s="5">
        <f t="shared" si="4"/>
        <v>5.64</v>
      </c>
      <c r="W17" s="5">
        <f t="shared" si="4"/>
        <v>4.3</v>
      </c>
      <c r="X17" s="5">
        <f t="shared" si="4"/>
        <v>3.62</v>
      </c>
      <c r="Y17" s="5">
        <f t="shared" si="4"/>
        <v>2.92</v>
      </c>
      <c r="Z17" s="5">
        <f t="shared" si="4"/>
        <v>2.81</v>
      </c>
      <c r="AA17" s="5">
        <f t="shared" si="4"/>
        <v>2.48</v>
      </c>
      <c r="AB17" s="5">
        <f t="shared" si="4"/>
        <v>2.02</v>
      </c>
      <c r="AC17" s="5">
        <f t="shared" si="4"/>
        <v>1.63</v>
      </c>
      <c r="AD17" s="5">
        <f t="shared" si="4"/>
        <v>1.57</v>
      </c>
      <c r="AE17" s="5">
        <f t="shared" si="4"/>
        <v>1.31</v>
      </c>
      <c r="AF17" s="5">
        <f t="shared" si="4"/>
        <v>1.15</v>
      </c>
      <c r="AG17" s="5">
        <f t="shared" si="4"/>
        <v>1.03</v>
      </c>
      <c r="AH17" s="5">
        <f t="shared" si="4"/>
        <v>0.58</v>
      </c>
      <c r="AI17" s="5">
        <f t="shared" si="3"/>
        <v>0.32</v>
      </c>
      <c r="AJ17" s="5">
        <f t="shared" si="3"/>
        <v>0.2</v>
      </c>
    </row>
    <row r="18" spans="1:36">
      <c r="A18" t="str">
        <f>"casthouse_procurement_archetype_"&amp;TEXT(ROUND(Table21319[[#This Row],[2016]],1),"0.0")</f>
        <v>casthouse_procurement_archetype_28.7</v>
      </c>
      <c r="B18" s="5">
        <f t="shared" si="2"/>
        <v>28.7</v>
      </c>
      <c r="C18" s="5">
        <f t="shared" si="1"/>
        <v>28.7</v>
      </c>
      <c r="D18" s="5">
        <f t="shared" si="1"/>
        <v>28.7</v>
      </c>
      <c r="E18" s="5">
        <f t="shared" si="1"/>
        <v>28</v>
      </c>
      <c r="F18" s="5">
        <f t="shared" si="1"/>
        <v>26.3</v>
      </c>
      <c r="G18" s="5">
        <f t="shared" si="1"/>
        <v>26.54</v>
      </c>
      <c r="H18" s="5">
        <f t="shared" si="1"/>
        <v>25.81</v>
      </c>
      <c r="I18" s="5">
        <f t="shared" si="1"/>
        <v>24.38</v>
      </c>
      <c r="J18" s="5">
        <f t="shared" si="1"/>
        <v>23.58</v>
      </c>
      <c r="K18" s="5">
        <f t="shared" si="1"/>
        <v>22.76</v>
      </c>
      <c r="L18" s="5">
        <f t="shared" si="1"/>
        <v>21.47</v>
      </c>
      <c r="M18" s="5">
        <f t="shared" si="1"/>
        <v>21.31</v>
      </c>
      <c r="N18" s="5">
        <f t="shared" si="1"/>
        <v>20.25</v>
      </c>
      <c r="O18" s="5">
        <f t="shared" si="1"/>
        <v>19.15</v>
      </c>
      <c r="P18" s="5">
        <f t="shared" si="1"/>
        <v>17.84</v>
      </c>
      <c r="Q18" s="5">
        <f t="shared" si="1"/>
        <v>15.31</v>
      </c>
      <c r="R18" s="5">
        <f t="shared" si="1"/>
        <v>11.9</v>
      </c>
      <c r="S18" s="5">
        <f t="shared" si="4"/>
        <v>10.81</v>
      </c>
      <c r="T18" s="5">
        <f t="shared" si="4"/>
        <v>8.45</v>
      </c>
      <c r="U18" s="5">
        <f t="shared" si="4"/>
        <v>6.06</v>
      </c>
      <c r="V18" s="5">
        <f t="shared" si="4"/>
        <v>5.62</v>
      </c>
      <c r="W18" s="5">
        <f t="shared" si="4"/>
        <v>4.29</v>
      </c>
      <c r="X18" s="5">
        <f t="shared" si="4"/>
        <v>3.61</v>
      </c>
      <c r="Y18" s="5">
        <f t="shared" si="4"/>
        <v>2.91</v>
      </c>
      <c r="Z18" s="5">
        <f t="shared" si="4"/>
        <v>2.8</v>
      </c>
      <c r="AA18" s="5">
        <f t="shared" si="4"/>
        <v>2.48</v>
      </c>
      <c r="AB18" s="5">
        <f t="shared" si="4"/>
        <v>2.01</v>
      </c>
      <c r="AC18" s="5">
        <f t="shared" si="4"/>
        <v>1.63</v>
      </c>
      <c r="AD18" s="5">
        <f t="shared" si="4"/>
        <v>1.56</v>
      </c>
      <c r="AE18" s="5">
        <f t="shared" si="4"/>
        <v>1.3</v>
      </c>
      <c r="AF18" s="5">
        <f t="shared" si="4"/>
        <v>1.14</v>
      </c>
      <c r="AG18" s="5">
        <f t="shared" si="4"/>
        <v>1.02</v>
      </c>
      <c r="AH18" s="5">
        <f t="shared" si="4"/>
        <v>0.58</v>
      </c>
      <c r="AI18" s="5">
        <f t="shared" si="3"/>
        <v>0.32</v>
      </c>
      <c r="AJ18" s="5">
        <f t="shared" si="3"/>
        <v>0.2</v>
      </c>
    </row>
    <row r="19" spans="1:36">
      <c r="A19" t="str">
        <f>"casthouse_procurement_archetype_"&amp;TEXT(ROUND(Table21319[[#This Row],[2016]],1),"0.0")</f>
        <v>casthouse_procurement_archetype_28.6</v>
      </c>
      <c r="B19" s="5">
        <f t="shared" si="2"/>
        <v>28.6</v>
      </c>
      <c r="C19" s="5">
        <f t="shared" si="1"/>
        <v>28.6</v>
      </c>
      <c r="D19" s="5">
        <f t="shared" si="1"/>
        <v>28.6</v>
      </c>
      <c r="E19" s="5">
        <f t="shared" si="1"/>
        <v>27.9</v>
      </c>
      <c r="F19" s="5">
        <f t="shared" si="1"/>
        <v>26.21</v>
      </c>
      <c r="G19" s="5">
        <f t="shared" si="1"/>
        <v>26.45</v>
      </c>
      <c r="H19" s="5">
        <f t="shared" si="1"/>
        <v>25.72</v>
      </c>
      <c r="I19" s="5">
        <f t="shared" si="1"/>
        <v>24.3</v>
      </c>
      <c r="J19" s="5">
        <f t="shared" si="1"/>
        <v>23.5</v>
      </c>
      <c r="K19" s="5">
        <f t="shared" si="1"/>
        <v>22.68</v>
      </c>
      <c r="L19" s="5">
        <f t="shared" si="1"/>
        <v>21.39</v>
      </c>
      <c r="M19" s="5">
        <f t="shared" si="1"/>
        <v>21.24</v>
      </c>
      <c r="N19" s="5">
        <f t="shared" si="1"/>
        <v>20.18</v>
      </c>
      <c r="O19" s="5">
        <f t="shared" si="1"/>
        <v>19.08</v>
      </c>
      <c r="P19" s="5">
        <f t="shared" si="1"/>
        <v>17.78</v>
      </c>
      <c r="Q19" s="5">
        <f t="shared" si="1"/>
        <v>15.26</v>
      </c>
      <c r="R19" s="5">
        <f t="shared" si="1"/>
        <v>11.86</v>
      </c>
      <c r="S19" s="5">
        <f t="shared" si="4"/>
        <v>10.77</v>
      </c>
      <c r="T19" s="5">
        <f t="shared" si="4"/>
        <v>8.42</v>
      </c>
      <c r="U19" s="5">
        <f t="shared" si="4"/>
        <v>6.04</v>
      </c>
      <c r="V19" s="5">
        <f t="shared" si="4"/>
        <v>5.6</v>
      </c>
      <c r="W19" s="5">
        <f t="shared" si="4"/>
        <v>4.27</v>
      </c>
      <c r="X19" s="5">
        <f t="shared" si="4"/>
        <v>3.6</v>
      </c>
      <c r="Y19" s="5">
        <f t="shared" si="4"/>
        <v>2.9</v>
      </c>
      <c r="Z19" s="5">
        <f t="shared" si="4"/>
        <v>2.79</v>
      </c>
      <c r="AA19" s="5">
        <f t="shared" si="4"/>
        <v>2.47</v>
      </c>
      <c r="AB19" s="5">
        <f t="shared" si="4"/>
        <v>2</v>
      </c>
      <c r="AC19" s="5">
        <f t="shared" si="4"/>
        <v>1.62</v>
      </c>
      <c r="AD19" s="5">
        <f t="shared" si="4"/>
        <v>1.56</v>
      </c>
      <c r="AE19" s="5">
        <f t="shared" si="4"/>
        <v>1.3</v>
      </c>
      <c r="AF19" s="5">
        <f t="shared" si="4"/>
        <v>1.14</v>
      </c>
      <c r="AG19" s="5">
        <f t="shared" si="4"/>
        <v>1.02</v>
      </c>
      <c r="AH19" s="5">
        <f t="shared" si="4"/>
        <v>0.57</v>
      </c>
      <c r="AI19" s="5">
        <f t="shared" si="3"/>
        <v>0.32</v>
      </c>
      <c r="AJ19" s="5">
        <f t="shared" si="3"/>
        <v>0.2</v>
      </c>
    </row>
    <row r="20" spans="1:36">
      <c r="A20" t="str">
        <f>"casthouse_procurement_archetype_"&amp;TEXT(ROUND(Table21319[[#This Row],[2016]],1),"0.0")</f>
        <v>casthouse_procurement_archetype_28.5</v>
      </c>
      <c r="B20" s="5">
        <f t="shared" si="2"/>
        <v>28.5</v>
      </c>
      <c r="C20" s="5">
        <f t="shared" si="1"/>
        <v>28.5</v>
      </c>
      <c r="D20" s="5">
        <f t="shared" si="1"/>
        <v>28.5</v>
      </c>
      <c r="E20" s="5">
        <f t="shared" si="1"/>
        <v>27.8</v>
      </c>
      <c r="F20" s="5">
        <f t="shared" si="1"/>
        <v>26.12</v>
      </c>
      <c r="G20" s="5">
        <f t="shared" si="1"/>
        <v>26.36</v>
      </c>
      <c r="H20" s="5">
        <f t="shared" si="1"/>
        <v>25.63</v>
      </c>
      <c r="I20" s="5">
        <f t="shared" si="1"/>
        <v>24.21</v>
      </c>
      <c r="J20" s="5">
        <f t="shared" si="1"/>
        <v>23.42</v>
      </c>
      <c r="K20" s="5">
        <f t="shared" si="1"/>
        <v>22.6</v>
      </c>
      <c r="L20" s="5">
        <f t="shared" si="1"/>
        <v>21.32</v>
      </c>
      <c r="M20" s="5">
        <f t="shared" si="1"/>
        <v>21.16</v>
      </c>
      <c r="N20" s="5">
        <f t="shared" si="1"/>
        <v>20.11</v>
      </c>
      <c r="O20" s="5">
        <f t="shared" si="1"/>
        <v>19.01</v>
      </c>
      <c r="P20" s="5">
        <f t="shared" si="1"/>
        <v>17.72</v>
      </c>
      <c r="Q20" s="5">
        <f t="shared" si="1"/>
        <v>15.21</v>
      </c>
      <c r="R20" s="5">
        <f t="shared" si="1"/>
        <v>11.82</v>
      </c>
      <c r="S20" s="5">
        <f t="shared" si="4"/>
        <v>10.74</v>
      </c>
      <c r="T20" s="5">
        <f t="shared" si="4"/>
        <v>8.39</v>
      </c>
      <c r="U20" s="5">
        <f t="shared" si="4"/>
        <v>6.02</v>
      </c>
      <c r="V20" s="5">
        <f t="shared" si="4"/>
        <v>5.58</v>
      </c>
      <c r="W20" s="5">
        <f t="shared" si="4"/>
        <v>4.26</v>
      </c>
      <c r="X20" s="5">
        <f t="shared" si="4"/>
        <v>3.59</v>
      </c>
      <c r="Y20" s="5">
        <f t="shared" si="4"/>
        <v>2.89</v>
      </c>
      <c r="Z20" s="5">
        <f t="shared" si="4"/>
        <v>2.78</v>
      </c>
      <c r="AA20" s="5">
        <f t="shared" si="4"/>
        <v>2.46</v>
      </c>
      <c r="AB20" s="5">
        <f t="shared" si="4"/>
        <v>2</v>
      </c>
      <c r="AC20" s="5">
        <f t="shared" si="4"/>
        <v>1.62</v>
      </c>
      <c r="AD20" s="5">
        <f t="shared" si="4"/>
        <v>1.55</v>
      </c>
      <c r="AE20" s="5">
        <f t="shared" si="4"/>
        <v>1.3</v>
      </c>
      <c r="AF20" s="5">
        <f t="shared" si="4"/>
        <v>1.14</v>
      </c>
      <c r="AG20" s="5">
        <f t="shared" si="4"/>
        <v>1.02</v>
      </c>
      <c r="AH20" s="5">
        <f t="shared" si="4"/>
        <v>0.57</v>
      </c>
      <c r="AI20" s="5">
        <f t="shared" si="3"/>
        <v>0.32</v>
      </c>
      <c r="AJ20" s="5">
        <f t="shared" si="3"/>
        <v>0.2</v>
      </c>
    </row>
    <row r="21" spans="1:36">
      <c r="A21" t="str">
        <f>"casthouse_procurement_archetype_"&amp;TEXT(ROUND(Table21319[[#This Row],[2016]],1),"0.0")</f>
        <v>casthouse_procurement_archetype_28.4</v>
      </c>
      <c r="B21" s="5">
        <f t="shared" si="2"/>
        <v>28.4</v>
      </c>
      <c r="C21" s="5">
        <f t="shared" si="1"/>
        <v>28.4</v>
      </c>
      <c r="D21" s="5">
        <f t="shared" si="1"/>
        <v>28.4</v>
      </c>
      <c r="E21" s="5">
        <f t="shared" si="1"/>
        <v>27.71</v>
      </c>
      <c r="F21" s="5">
        <f t="shared" si="1"/>
        <v>26.03</v>
      </c>
      <c r="G21" s="5">
        <f t="shared" si="1"/>
        <v>26.26</v>
      </c>
      <c r="H21" s="5">
        <f t="shared" si="1"/>
        <v>25.54</v>
      </c>
      <c r="I21" s="5">
        <f t="shared" si="1"/>
        <v>24.13</v>
      </c>
      <c r="J21" s="5">
        <f t="shared" si="1"/>
        <v>23.34</v>
      </c>
      <c r="K21" s="5">
        <f t="shared" si="1"/>
        <v>22.53</v>
      </c>
      <c r="L21" s="5">
        <f t="shared" si="1"/>
        <v>21.24</v>
      </c>
      <c r="M21" s="5">
        <f t="shared" si="1"/>
        <v>21.09</v>
      </c>
      <c r="N21" s="5">
        <f t="shared" si="1"/>
        <v>20.04</v>
      </c>
      <c r="O21" s="5">
        <f t="shared" si="1"/>
        <v>18.95</v>
      </c>
      <c r="P21" s="5">
        <f t="shared" si="1"/>
        <v>17.66</v>
      </c>
      <c r="Q21" s="5">
        <f t="shared" si="1"/>
        <v>15.15</v>
      </c>
      <c r="R21" s="5">
        <f t="shared" si="1"/>
        <v>11.78</v>
      </c>
      <c r="S21" s="5">
        <f t="shared" si="4"/>
        <v>10.7</v>
      </c>
      <c r="T21" s="5">
        <f t="shared" si="4"/>
        <v>8.36</v>
      </c>
      <c r="U21" s="5">
        <f t="shared" si="4"/>
        <v>6</v>
      </c>
      <c r="V21" s="5">
        <f t="shared" si="4"/>
        <v>5.56</v>
      </c>
      <c r="W21" s="5">
        <f t="shared" si="4"/>
        <v>4.24</v>
      </c>
      <c r="X21" s="5">
        <f t="shared" si="4"/>
        <v>3.57</v>
      </c>
      <c r="Y21" s="5">
        <f t="shared" si="4"/>
        <v>2.88</v>
      </c>
      <c r="Z21" s="5">
        <f t="shared" si="4"/>
        <v>2.77</v>
      </c>
      <c r="AA21" s="5">
        <f t="shared" si="4"/>
        <v>2.45</v>
      </c>
      <c r="AB21" s="5">
        <f t="shared" si="4"/>
        <v>1.99</v>
      </c>
      <c r="AC21" s="5">
        <f t="shared" si="4"/>
        <v>1.61</v>
      </c>
      <c r="AD21" s="5">
        <f t="shared" si="4"/>
        <v>1.55</v>
      </c>
      <c r="AE21" s="5">
        <f t="shared" si="4"/>
        <v>1.29</v>
      </c>
      <c r="AF21" s="5">
        <f t="shared" si="4"/>
        <v>1.13</v>
      </c>
      <c r="AG21" s="5">
        <f t="shared" si="4"/>
        <v>1.02</v>
      </c>
      <c r="AH21" s="5">
        <f t="shared" si="4"/>
        <v>0.57</v>
      </c>
      <c r="AI21" s="5">
        <f t="shared" si="3"/>
        <v>0.32</v>
      </c>
      <c r="AJ21" s="5">
        <f t="shared" si="3"/>
        <v>0.2</v>
      </c>
    </row>
    <row r="22" spans="1:36">
      <c r="A22" t="str">
        <f>"casthouse_procurement_archetype_"&amp;TEXT(ROUND(Table21319[[#This Row],[2016]],1),"0.0")</f>
        <v>casthouse_procurement_archetype_28.3</v>
      </c>
      <c r="B22" s="5">
        <f t="shared" si="2"/>
        <v>28.3</v>
      </c>
      <c r="C22" s="5">
        <f t="shared" si="1"/>
        <v>28.3</v>
      </c>
      <c r="D22" s="5">
        <f t="shared" si="1"/>
        <v>28.3</v>
      </c>
      <c r="E22" s="5">
        <f t="shared" si="1"/>
        <v>27.61</v>
      </c>
      <c r="F22" s="5">
        <f t="shared" si="1"/>
        <v>25.94</v>
      </c>
      <c r="G22" s="5">
        <f t="shared" si="1"/>
        <v>26.17</v>
      </c>
      <c r="H22" s="5">
        <f t="shared" si="1"/>
        <v>25.45</v>
      </c>
      <c r="I22" s="5">
        <f t="shared" si="1"/>
        <v>24.04</v>
      </c>
      <c r="J22" s="5">
        <f t="shared" si="1"/>
        <v>23.26</v>
      </c>
      <c r="K22" s="5">
        <f t="shared" si="1"/>
        <v>22.45</v>
      </c>
      <c r="L22" s="5">
        <f t="shared" si="1"/>
        <v>21.17</v>
      </c>
      <c r="M22" s="5">
        <f t="shared" si="1"/>
        <v>21.01</v>
      </c>
      <c r="N22" s="5">
        <f t="shared" si="1"/>
        <v>19.97</v>
      </c>
      <c r="O22" s="5">
        <f t="shared" si="1"/>
        <v>18.88</v>
      </c>
      <c r="P22" s="5">
        <f t="shared" si="1"/>
        <v>17.6</v>
      </c>
      <c r="Q22" s="5">
        <f t="shared" si="1"/>
        <v>15.1</v>
      </c>
      <c r="R22" s="5">
        <f t="shared" si="1"/>
        <v>11.74</v>
      </c>
      <c r="S22" s="5">
        <f t="shared" si="4"/>
        <v>10.66</v>
      </c>
      <c r="T22" s="5">
        <f t="shared" si="4"/>
        <v>8.33</v>
      </c>
      <c r="U22" s="5">
        <f t="shared" si="4"/>
        <v>5.98</v>
      </c>
      <c r="V22" s="5">
        <f t="shared" si="4"/>
        <v>5.54</v>
      </c>
      <c r="W22" s="5">
        <f t="shared" si="4"/>
        <v>4.23</v>
      </c>
      <c r="X22" s="5">
        <f t="shared" si="4"/>
        <v>3.56</v>
      </c>
      <c r="Y22" s="5">
        <f t="shared" si="4"/>
        <v>2.87</v>
      </c>
      <c r="Z22" s="5">
        <f t="shared" si="4"/>
        <v>2.76</v>
      </c>
      <c r="AA22" s="5">
        <f t="shared" si="4"/>
        <v>2.44</v>
      </c>
      <c r="AB22" s="5">
        <f t="shared" si="4"/>
        <v>1.98</v>
      </c>
      <c r="AC22" s="5">
        <f t="shared" si="4"/>
        <v>1.61</v>
      </c>
      <c r="AD22" s="5">
        <f t="shared" si="4"/>
        <v>1.54</v>
      </c>
      <c r="AE22" s="5">
        <f t="shared" si="4"/>
        <v>1.29</v>
      </c>
      <c r="AF22" s="5">
        <f t="shared" si="4"/>
        <v>1.13</v>
      </c>
      <c r="AG22" s="5">
        <f t="shared" si="4"/>
        <v>1.01</v>
      </c>
      <c r="AH22" s="5">
        <f t="shared" si="4"/>
        <v>0.57</v>
      </c>
      <c r="AI22" s="5">
        <f t="shared" si="3"/>
        <v>0.32</v>
      </c>
      <c r="AJ22" s="5">
        <f t="shared" si="3"/>
        <v>0.2</v>
      </c>
    </row>
    <row r="23" spans="1:36">
      <c r="A23" t="str">
        <f>"casthouse_procurement_archetype_"&amp;TEXT(ROUND(Table21319[[#This Row],[2016]],1),"0.0")</f>
        <v>casthouse_procurement_archetype_28.2</v>
      </c>
      <c r="B23" s="5">
        <f t="shared" si="2"/>
        <v>28.2</v>
      </c>
      <c r="C23" s="5">
        <f t="shared" si="1"/>
        <v>28.2</v>
      </c>
      <c r="D23" s="5">
        <f t="shared" si="1"/>
        <v>28.2</v>
      </c>
      <c r="E23" s="5">
        <f t="shared" si="1"/>
        <v>27.51</v>
      </c>
      <c r="F23" s="5">
        <f t="shared" si="1"/>
        <v>25.85</v>
      </c>
      <c r="G23" s="5">
        <f t="shared" si="1"/>
        <v>26.08</v>
      </c>
      <c r="H23" s="5">
        <f t="shared" si="1"/>
        <v>25.36</v>
      </c>
      <c r="I23" s="5">
        <f t="shared" si="1"/>
        <v>23.96</v>
      </c>
      <c r="J23" s="5">
        <f t="shared" si="1"/>
        <v>23.17</v>
      </c>
      <c r="K23" s="5">
        <f t="shared" si="1"/>
        <v>22.37</v>
      </c>
      <c r="L23" s="5">
        <f t="shared" si="1"/>
        <v>21.09</v>
      </c>
      <c r="M23" s="5">
        <f t="shared" si="1"/>
        <v>20.94</v>
      </c>
      <c r="N23" s="5">
        <f t="shared" si="1"/>
        <v>19.9</v>
      </c>
      <c r="O23" s="5">
        <f t="shared" si="1"/>
        <v>18.81</v>
      </c>
      <c r="P23" s="5">
        <f t="shared" si="1"/>
        <v>17.53</v>
      </c>
      <c r="Q23" s="5">
        <f t="shared" si="1"/>
        <v>15.05</v>
      </c>
      <c r="R23" s="5">
        <f t="shared" si="1"/>
        <v>11.69</v>
      </c>
      <c r="S23" s="5">
        <f t="shared" si="4"/>
        <v>10.63</v>
      </c>
      <c r="T23" s="5">
        <f t="shared" si="4"/>
        <v>8.3</v>
      </c>
      <c r="U23" s="5">
        <f t="shared" si="4"/>
        <v>5.96</v>
      </c>
      <c r="V23" s="5">
        <f t="shared" si="4"/>
        <v>5.52</v>
      </c>
      <c r="W23" s="5">
        <f t="shared" si="4"/>
        <v>4.21</v>
      </c>
      <c r="X23" s="5">
        <f t="shared" si="4"/>
        <v>3.55</v>
      </c>
      <c r="Y23" s="5">
        <f t="shared" si="4"/>
        <v>2.86</v>
      </c>
      <c r="Z23" s="5">
        <f t="shared" si="4"/>
        <v>2.75</v>
      </c>
      <c r="AA23" s="5">
        <f t="shared" si="4"/>
        <v>2.44</v>
      </c>
      <c r="AB23" s="5">
        <f t="shared" si="4"/>
        <v>1.98</v>
      </c>
      <c r="AC23" s="5">
        <f t="shared" si="4"/>
        <v>1.6</v>
      </c>
      <c r="AD23" s="5">
        <f t="shared" si="4"/>
        <v>1.54</v>
      </c>
      <c r="AE23" s="5">
        <f t="shared" si="4"/>
        <v>1.29</v>
      </c>
      <c r="AF23" s="5">
        <f t="shared" si="4"/>
        <v>1.13</v>
      </c>
      <c r="AG23" s="5">
        <f t="shared" si="4"/>
        <v>1.01</v>
      </c>
      <c r="AH23" s="5">
        <f t="shared" si="4"/>
        <v>0.57</v>
      </c>
      <c r="AI23" s="5">
        <f t="shared" si="3"/>
        <v>0.32</v>
      </c>
      <c r="AJ23" s="5">
        <f t="shared" si="3"/>
        <v>0.2</v>
      </c>
    </row>
    <row r="24" spans="1:36">
      <c r="A24" t="str">
        <f>"casthouse_procurement_archetype_"&amp;TEXT(ROUND(Table21319[[#This Row],[2016]],1),"0.0")</f>
        <v>casthouse_procurement_archetype_28.1</v>
      </c>
      <c r="B24" s="5">
        <f t="shared" si="2"/>
        <v>28.1</v>
      </c>
      <c r="C24" s="5">
        <f t="shared" si="1"/>
        <v>28.1</v>
      </c>
      <c r="D24" s="5">
        <f t="shared" si="1"/>
        <v>28.1</v>
      </c>
      <c r="E24" s="5">
        <f t="shared" si="1"/>
        <v>27.41</v>
      </c>
      <c r="F24" s="5">
        <f t="shared" si="1"/>
        <v>25.75</v>
      </c>
      <c r="G24" s="5">
        <f t="shared" si="1"/>
        <v>25.99</v>
      </c>
      <c r="H24" s="5">
        <f t="shared" si="1"/>
        <v>25.27</v>
      </c>
      <c r="I24" s="5">
        <f t="shared" si="1"/>
        <v>23.87</v>
      </c>
      <c r="J24" s="5">
        <f t="shared" si="1"/>
        <v>23.09</v>
      </c>
      <c r="K24" s="5">
        <f t="shared" si="1"/>
        <v>22.29</v>
      </c>
      <c r="L24" s="5">
        <f t="shared" si="1"/>
        <v>21.02</v>
      </c>
      <c r="M24" s="5">
        <f t="shared" si="1"/>
        <v>20.86</v>
      </c>
      <c r="N24" s="5">
        <f t="shared" si="1"/>
        <v>19.83</v>
      </c>
      <c r="O24" s="5">
        <f t="shared" si="1"/>
        <v>18.75</v>
      </c>
      <c r="P24" s="5">
        <f t="shared" si="1"/>
        <v>17.47</v>
      </c>
      <c r="Q24" s="5">
        <f t="shared" si="1"/>
        <v>15</v>
      </c>
      <c r="R24" s="5">
        <f t="shared" si="1"/>
        <v>11.65</v>
      </c>
      <c r="S24" s="5">
        <f t="shared" si="4"/>
        <v>10.59</v>
      </c>
      <c r="T24" s="5">
        <f t="shared" si="4"/>
        <v>8.27</v>
      </c>
      <c r="U24" s="5">
        <f t="shared" si="4"/>
        <v>5.94</v>
      </c>
      <c r="V24" s="5">
        <f t="shared" si="4"/>
        <v>5.5</v>
      </c>
      <c r="W24" s="5">
        <f t="shared" si="4"/>
        <v>4.2</v>
      </c>
      <c r="X24" s="5">
        <f t="shared" si="4"/>
        <v>3.54</v>
      </c>
      <c r="Y24" s="5">
        <f t="shared" si="4"/>
        <v>2.85</v>
      </c>
      <c r="Z24" s="5">
        <f t="shared" si="4"/>
        <v>2.74</v>
      </c>
      <c r="AA24" s="5">
        <f t="shared" si="4"/>
        <v>2.43</v>
      </c>
      <c r="AB24" s="5">
        <f t="shared" si="4"/>
        <v>1.97</v>
      </c>
      <c r="AC24" s="5">
        <f t="shared" si="4"/>
        <v>1.6</v>
      </c>
      <c r="AD24" s="5">
        <f t="shared" si="4"/>
        <v>1.53</v>
      </c>
      <c r="AE24" s="5">
        <f t="shared" si="4"/>
        <v>1.28</v>
      </c>
      <c r="AF24" s="5">
        <f t="shared" si="4"/>
        <v>1.12</v>
      </c>
      <c r="AG24" s="5">
        <f t="shared" si="4"/>
        <v>1.01</v>
      </c>
      <c r="AH24" s="5">
        <f t="shared" si="4"/>
        <v>0.57</v>
      </c>
      <c r="AI24" s="5">
        <f t="shared" si="3"/>
        <v>0.32</v>
      </c>
      <c r="AJ24" s="5">
        <f t="shared" si="3"/>
        <v>0.2</v>
      </c>
    </row>
    <row r="25" spans="1:36">
      <c r="A25" t="str">
        <f>"casthouse_procurement_archetype_"&amp;TEXT(ROUND(Table21319[[#This Row],[2016]],1),"0.0")</f>
        <v>casthouse_procurement_archetype_28.0</v>
      </c>
      <c r="B25" s="5">
        <f t="shared" si="2"/>
        <v>28</v>
      </c>
      <c r="C25" s="5">
        <f t="shared" si="1"/>
        <v>28</v>
      </c>
      <c r="D25" s="5">
        <f t="shared" si="1"/>
        <v>28</v>
      </c>
      <c r="E25" s="5">
        <f t="shared" si="1"/>
        <v>27.32</v>
      </c>
      <c r="F25" s="5">
        <f t="shared" si="1"/>
        <v>25.66</v>
      </c>
      <c r="G25" s="5">
        <f t="shared" si="1"/>
        <v>25.89</v>
      </c>
      <c r="H25" s="5">
        <f t="shared" si="1"/>
        <v>25.18</v>
      </c>
      <c r="I25" s="5">
        <f t="shared" si="1"/>
        <v>23.79</v>
      </c>
      <c r="J25" s="5">
        <f t="shared" si="1"/>
        <v>23.01</v>
      </c>
      <c r="K25" s="5">
        <f t="shared" si="1"/>
        <v>22.21</v>
      </c>
      <c r="L25" s="5">
        <f t="shared" si="1"/>
        <v>20.94</v>
      </c>
      <c r="M25" s="5">
        <f t="shared" si="1"/>
        <v>20.79</v>
      </c>
      <c r="N25" s="5">
        <f t="shared" si="1"/>
        <v>19.75</v>
      </c>
      <c r="O25" s="5">
        <f t="shared" si="1"/>
        <v>18.68</v>
      </c>
      <c r="P25" s="5">
        <f t="shared" si="1"/>
        <v>17.41</v>
      </c>
      <c r="Q25" s="5">
        <f t="shared" si="1"/>
        <v>14.94</v>
      </c>
      <c r="R25" s="5">
        <f t="shared" si="1"/>
        <v>11.61</v>
      </c>
      <c r="S25" s="5">
        <f t="shared" si="4"/>
        <v>10.55</v>
      </c>
      <c r="T25" s="5">
        <f t="shared" si="4"/>
        <v>8.24</v>
      </c>
      <c r="U25" s="5">
        <f t="shared" si="4"/>
        <v>5.92</v>
      </c>
      <c r="V25" s="5">
        <f t="shared" si="4"/>
        <v>5.49</v>
      </c>
      <c r="W25" s="5">
        <f t="shared" si="4"/>
        <v>4.19</v>
      </c>
      <c r="X25" s="5">
        <f t="shared" si="4"/>
        <v>3.53</v>
      </c>
      <c r="Y25" s="5">
        <f t="shared" si="4"/>
        <v>2.84</v>
      </c>
      <c r="Z25" s="5">
        <f t="shared" si="4"/>
        <v>2.73</v>
      </c>
      <c r="AA25" s="5">
        <f t="shared" si="4"/>
        <v>2.42</v>
      </c>
      <c r="AB25" s="5">
        <f t="shared" si="4"/>
        <v>1.96</v>
      </c>
      <c r="AC25" s="5">
        <f t="shared" si="4"/>
        <v>1.59</v>
      </c>
      <c r="AD25" s="5">
        <f t="shared" si="4"/>
        <v>1.53</v>
      </c>
      <c r="AE25" s="5">
        <f t="shared" si="4"/>
        <v>1.28</v>
      </c>
      <c r="AF25" s="5">
        <f t="shared" si="4"/>
        <v>1.12</v>
      </c>
      <c r="AG25" s="5">
        <f t="shared" si="4"/>
        <v>1</v>
      </c>
      <c r="AH25" s="5">
        <f t="shared" si="4"/>
        <v>0.57</v>
      </c>
      <c r="AI25" s="5">
        <f t="shared" si="3"/>
        <v>0.32</v>
      </c>
      <c r="AJ25" s="5">
        <f t="shared" si="3"/>
        <v>0.2</v>
      </c>
    </row>
    <row r="26" spans="1:36">
      <c r="A26" t="str">
        <f>"casthouse_procurement_archetype_"&amp;TEXT(ROUND(Table21319[[#This Row],[2016]],1),"0.0")</f>
        <v>casthouse_procurement_archetype_27.9</v>
      </c>
      <c r="B26" s="5">
        <f t="shared" si="2"/>
        <v>27.9</v>
      </c>
      <c r="C26" s="5">
        <f t="shared" si="1"/>
        <v>27.9</v>
      </c>
      <c r="D26" s="5">
        <f t="shared" si="1"/>
        <v>27.9</v>
      </c>
      <c r="E26" s="5">
        <f t="shared" si="1"/>
        <v>27.22</v>
      </c>
      <c r="F26" s="5">
        <f t="shared" si="1"/>
        <v>25.57</v>
      </c>
      <c r="G26" s="5">
        <f t="shared" si="1"/>
        <v>25.8</v>
      </c>
      <c r="H26" s="5">
        <f t="shared" si="1"/>
        <v>25.09</v>
      </c>
      <c r="I26" s="5">
        <f t="shared" si="1"/>
        <v>23.7</v>
      </c>
      <c r="J26" s="5">
        <f t="shared" si="1"/>
        <v>22.93</v>
      </c>
      <c r="K26" s="5">
        <f t="shared" si="1"/>
        <v>22.13</v>
      </c>
      <c r="L26" s="5">
        <f t="shared" si="1"/>
        <v>20.87</v>
      </c>
      <c r="M26" s="5">
        <f t="shared" si="1"/>
        <v>20.72</v>
      </c>
      <c r="N26" s="5">
        <f t="shared" si="1"/>
        <v>19.68</v>
      </c>
      <c r="O26" s="5">
        <f t="shared" si="1"/>
        <v>18.61</v>
      </c>
      <c r="P26" s="5">
        <f t="shared" si="1"/>
        <v>17.35</v>
      </c>
      <c r="Q26" s="5">
        <f t="shared" si="1"/>
        <v>14.89</v>
      </c>
      <c r="R26" s="5">
        <f t="shared" si="1"/>
        <v>11.57</v>
      </c>
      <c r="S26" s="5">
        <f t="shared" si="4"/>
        <v>10.51</v>
      </c>
      <c r="T26" s="5">
        <f t="shared" si="4"/>
        <v>8.21</v>
      </c>
      <c r="U26" s="5">
        <f t="shared" si="4"/>
        <v>5.9</v>
      </c>
      <c r="V26" s="5">
        <f t="shared" si="4"/>
        <v>5.47</v>
      </c>
      <c r="W26" s="5">
        <f t="shared" si="4"/>
        <v>4.17</v>
      </c>
      <c r="X26" s="5">
        <f t="shared" si="4"/>
        <v>3.51</v>
      </c>
      <c r="Y26" s="5">
        <f t="shared" si="4"/>
        <v>2.83</v>
      </c>
      <c r="Z26" s="5">
        <f t="shared" si="4"/>
        <v>2.72</v>
      </c>
      <c r="AA26" s="5">
        <f t="shared" si="4"/>
        <v>2.41</v>
      </c>
      <c r="AB26" s="5">
        <f t="shared" si="4"/>
        <v>1.96</v>
      </c>
      <c r="AC26" s="5">
        <f t="shared" si="4"/>
        <v>1.59</v>
      </c>
      <c r="AD26" s="5">
        <f t="shared" si="4"/>
        <v>1.52</v>
      </c>
      <c r="AE26" s="5">
        <f t="shared" si="4"/>
        <v>1.27</v>
      </c>
      <c r="AF26" s="5">
        <f t="shared" si="4"/>
        <v>1.12</v>
      </c>
      <c r="AG26" s="5">
        <f t="shared" si="4"/>
        <v>1</v>
      </c>
      <c r="AH26" s="5">
        <f t="shared" si="4"/>
        <v>0.56</v>
      </c>
      <c r="AI26" s="5">
        <f t="shared" si="3"/>
        <v>0.32</v>
      </c>
      <c r="AJ26" s="5">
        <f t="shared" si="3"/>
        <v>0.2</v>
      </c>
    </row>
    <row r="27" spans="1:36">
      <c r="A27" t="str">
        <f>"casthouse_procurement_archetype_"&amp;TEXT(ROUND(Table21319[[#This Row],[2016]],1),"0.0")</f>
        <v>casthouse_procurement_archetype_27.8</v>
      </c>
      <c r="B27" s="5">
        <f t="shared" si="2"/>
        <v>27.8</v>
      </c>
      <c r="C27" s="5">
        <f t="shared" si="1"/>
        <v>27.8</v>
      </c>
      <c r="D27" s="5">
        <f t="shared" si="1"/>
        <v>27.8</v>
      </c>
      <c r="E27" s="5">
        <f t="shared" si="1"/>
        <v>27.12</v>
      </c>
      <c r="F27" s="5">
        <f t="shared" si="1"/>
        <v>25.48</v>
      </c>
      <c r="G27" s="5">
        <f t="shared" si="1"/>
        <v>25.71</v>
      </c>
      <c r="H27" s="5">
        <f t="shared" si="1"/>
        <v>25</v>
      </c>
      <c r="I27" s="5">
        <f t="shared" si="1"/>
        <v>23.62</v>
      </c>
      <c r="J27" s="5">
        <f t="shared" si="1"/>
        <v>22.84</v>
      </c>
      <c r="K27" s="5">
        <f t="shared" si="1"/>
        <v>22.05</v>
      </c>
      <c r="L27" s="5">
        <f t="shared" si="1"/>
        <v>20.79</v>
      </c>
      <c r="M27" s="5">
        <f t="shared" si="1"/>
        <v>20.64</v>
      </c>
      <c r="N27" s="5">
        <f t="shared" si="1"/>
        <v>19.61</v>
      </c>
      <c r="O27" s="5">
        <f t="shared" si="1"/>
        <v>18.55</v>
      </c>
      <c r="P27" s="5">
        <f t="shared" si="1"/>
        <v>17.29</v>
      </c>
      <c r="Q27" s="5">
        <f t="shared" si="1"/>
        <v>14.84</v>
      </c>
      <c r="R27" s="5">
        <f t="shared" si="1"/>
        <v>11.53</v>
      </c>
      <c r="S27" s="5">
        <f t="shared" si="4"/>
        <v>10.48</v>
      </c>
      <c r="T27" s="5">
        <f t="shared" si="4"/>
        <v>8.18</v>
      </c>
      <c r="U27" s="5">
        <f t="shared" si="4"/>
        <v>5.88</v>
      </c>
      <c r="V27" s="5">
        <f t="shared" si="4"/>
        <v>5.45</v>
      </c>
      <c r="W27" s="5">
        <f t="shared" si="4"/>
        <v>4.16</v>
      </c>
      <c r="X27" s="5">
        <f t="shared" si="4"/>
        <v>3.5</v>
      </c>
      <c r="Y27" s="5">
        <f t="shared" si="4"/>
        <v>2.82</v>
      </c>
      <c r="Z27" s="5">
        <f t="shared" si="4"/>
        <v>2.71</v>
      </c>
      <c r="AA27" s="5">
        <f t="shared" si="4"/>
        <v>2.4</v>
      </c>
      <c r="AB27" s="5">
        <f t="shared" si="4"/>
        <v>1.95</v>
      </c>
      <c r="AC27" s="5">
        <f t="shared" si="4"/>
        <v>1.58</v>
      </c>
      <c r="AD27" s="5">
        <f t="shared" si="4"/>
        <v>1.52</v>
      </c>
      <c r="AE27" s="5">
        <f t="shared" si="4"/>
        <v>1.27</v>
      </c>
      <c r="AF27" s="5">
        <f t="shared" si="4"/>
        <v>1.11</v>
      </c>
      <c r="AG27" s="5">
        <f t="shared" si="4"/>
        <v>1</v>
      </c>
      <c r="AH27" s="5">
        <f t="shared" si="4"/>
        <v>0.56</v>
      </c>
      <c r="AI27" s="5">
        <f t="shared" si="3"/>
        <v>0.32</v>
      </c>
      <c r="AJ27" s="5">
        <f t="shared" si="3"/>
        <v>0.2</v>
      </c>
    </row>
    <row r="28" spans="1:36">
      <c r="A28" t="str">
        <f>"casthouse_procurement_archetype_"&amp;TEXT(ROUND(Table21319[[#This Row],[2016]],1),"0.0")</f>
        <v>casthouse_procurement_archetype_27.7</v>
      </c>
      <c r="B28" s="5">
        <f t="shared" si="2"/>
        <v>27.7</v>
      </c>
      <c r="C28" s="5">
        <f t="shared" si="1"/>
        <v>27.7</v>
      </c>
      <c r="D28" s="5">
        <f t="shared" si="1"/>
        <v>27.7</v>
      </c>
      <c r="E28" s="5">
        <f t="shared" si="1"/>
        <v>27.02</v>
      </c>
      <c r="F28" s="5">
        <f t="shared" si="1"/>
        <v>25.39</v>
      </c>
      <c r="G28" s="5">
        <f t="shared" si="1"/>
        <v>25.62</v>
      </c>
      <c r="H28" s="5">
        <f t="shared" si="1"/>
        <v>24.91</v>
      </c>
      <c r="I28" s="5">
        <f t="shared" si="1"/>
        <v>23.53</v>
      </c>
      <c r="J28" s="5">
        <f t="shared" si="1"/>
        <v>22.76</v>
      </c>
      <c r="K28" s="5">
        <f t="shared" ref="K28:Z43" si="5">MROUND((($B28-$AJ$2)*((K$2-$AJ$2)/($B$2-$AJ$2)))+$AJ$2,0.01)</f>
        <v>21.97</v>
      </c>
      <c r="L28" s="5">
        <f t="shared" si="5"/>
        <v>20.72</v>
      </c>
      <c r="M28" s="5">
        <f t="shared" si="5"/>
        <v>20.57</v>
      </c>
      <c r="N28" s="5">
        <f t="shared" si="5"/>
        <v>19.54</v>
      </c>
      <c r="O28" s="5">
        <f t="shared" si="5"/>
        <v>18.48</v>
      </c>
      <c r="P28" s="5">
        <f t="shared" si="5"/>
        <v>17.22</v>
      </c>
      <c r="Q28" s="5">
        <f t="shared" si="5"/>
        <v>14.78</v>
      </c>
      <c r="R28" s="5">
        <f t="shared" si="5"/>
        <v>11.49</v>
      </c>
      <c r="S28" s="5">
        <f t="shared" si="5"/>
        <v>10.44</v>
      </c>
      <c r="T28" s="5">
        <f t="shared" si="5"/>
        <v>8.16</v>
      </c>
      <c r="U28" s="5">
        <f t="shared" si="5"/>
        <v>5.85</v>
      </c>
      <c r="V28" s="5">
        <f t="shared" si="5"/>
        <v>5.43</v>
      </c>
      <c r="W28" s="5">
        <f t="shared" si="5"/>
        <v>4.14</v>
      </c>
      <c r="X28" s="5">
        <f t="shared" si="5"/>
        <v>3.49</v>
      </c>
      <c r="Y28" s="5">
        <f t="shared" si="5"/>
        <v>2.81</v>
      </c>
      <c r="Z28" s="5">
        <f t="shared" si="5"/>
        <v>2.71</v>
      </c>
      <c r="AA28" s="5">
        <f t="shared" si="4"/>
        <v>2.4</v>
      </c>
      <c r="AB28" s="5">
        <f t="shared" si="4"/>
        <v>1.95</v>
      </c>
      <c r="AC28" s="5">
        <f t="shared" si="4"/>
        <v>1.58</v>
      </c>
      <c r="AD28" s="5">
        <f t="shared" si="4"/>
        <v>1.52</v>
      </c>
      <c r="AE28" s="5">
        <f t="shared" si="4"/>
        <v>1.27</v>
      </c>
      <c r="AF28" s="5">
        <f t="shared" si="4"/>
        <v>1.11</v>
      </c>
      <c r="AG28" s="5">
        <f t="shared" si="4"/>
        <v>1</v>
      </c>
      <c r="AH28" s="5">
        <f t="shared" si="4"/>
        <v>0.56</v>
      </c>
      <c r="AI28" s="5">
        <f t="shared" si="3"/>
        <v>0.32</v>
      </c>
      <c r="AJ28" s="5">
        <f t="shared" si="3"/>
        <v>0.2</v>
      </c>
    </row>
    <row r="29" spans="1:36">
      <c r="A29" t="str">
        <f>"casthouse_procurement_archetype_"&amp;TEXT(ROUND(Table21319[[#This Row],[2016]],1),"0.0")</f>
        <v>casthouse_procurement_archetype_27.6</v>
      </c>
      <c r="B29" s="5">
        <f t="shared" si="2"/>
        <v>27.6</v>
      </c>
      <c r="C29" s="5">
        <f t="shared" ref="C29:R44" si="6">MROUND((($B29-$AJ$2)*((C$2-$AJ$2)/($B$2-$AJ$2)))+$AJ$2,0.01)</f>
        <v>27.6</v>
      </c>
      <c r="D29" s="5">
        <f t="shared" si="6"/>
        <v>27.6</v>
      </c>
      <c r="E29" s="5">
        <f t="shared" si="6"/>
        <v>26.93</v>
      </c>
      <c r="F29" s="5">
        <f t="shared" si="6"/>
        <v>25.3</v>
      </c>
      <c r="G29" s="5">
        <f t="shared" si="6"/>
        <v>25.52</v>
      </c>
      <c r="H29" s="5">
        <f t="shared" si="6"/>
        <v>24.82</v>
      </c>
      <c r="I29" s="5">
        <f t="shared" si="6"/>
        <v>23.45</v>
      </c>
      <c r="J29" s="5">
        <f t="shared" si="6"/>
        <v>22.68</v>
      </c>
      <c r="K29" s="5">
        <f t="shared" si="6"/>
        <v>21.89</v>
      </c>
      <c r="L29" s="5">
        <f t="shared" si="6"/>
        <v>20.65</v>
      </c>
      <c r="M29" s="5">
        <f t="shared" si="6"/>
        <v>20.49</v>
      </c>
      <c r="N29" s="5">
        <f t="shared" si="6"/>
        <v>19.47</v>
      </c>
      <c r="O29" s="5">
        <f t="shared" si="6"/>
        <v>18.41</v>
      </c>
      <c r="P29" s="5">
        <f t="shared" si="6"/>
        <v>17.16</v>
      </c>
      <c r="Q29" s="5">
        <f t="shared" si="6"/>
        <v>14.73</v>
      </c>
      <c r="R29" s="5">
        <f t="shared" si="6"/>
        <v>11.45</v>
      </c>
      <c r="S29" s="5">
        <f t="shared" si="5"/>
        <v>10.4</v>
      </c>
      <c r="T29" s="5">
        <f t="shared" si="5"/>
        <v>8.13</v>
      </c>
      <c r="U29" s="5">
        <f t="shared" si="5"/>
        <v>5.83</v>
      </c>
      <c r="V29" s="5">
        <f t="shared" si="5"/>
        <v>5.41</v>
      </c>
      <c r="W29" s="5">
        <f t="shared" si="5"/>
        <v>4.13</v>
      </c>
      <c r="X29" s="5">
        <f t="shared" si="5"/>
        <v>3.48</v>
      </c>
      <c r="Y29" s="5">
        <f t="shared" si="5"/>
        <v>2.8</v>
      </c>
      <c r="Z29" s="5">
        <f t="shared" si="5"/>
        <v>2.7</v>
      </c>
      <c r="AA29" s="5">
        <f t="shared" si="4"/>
        <v>2.39</v>
      </c>
      <c r="AB29" s="5">
        <f t="shared" si="4"/>
        <v>1.94</v>
      </c>
      <c r="AC29" s="5">
        <f t="shared" si="4"/>
        <v>1.57</v>
      </c>
      <c r="AD29" s="5">
        <f t="shared" si="4"/>
        <v>1.51</v>
      </c>
      <c r="AE29" s="5">
        <f t="shared" si="4"/>
        <v>1.26</v>
      </c>
      <c r="AF29" s="5">
        <f t="shared" si="4"/>
        <v>1.11</v>
      </c>
      <c r="AG29" s="5">
        <f t="shared" si="4"/>
        <v>0.99</v>
      </c>
      <c r="AH29" s="5">
        <f t="shared" ref="AH29:AJ29" si="7">MROUND((($B29-$AJ$2)*((AH$2-$AJ$2)/($B$2-$AJ$2)))+$AJ$2,0.01)</f>
        <v>0.56</v>
      </c>
      <c r="AI29" s="5">
        <f t="shared" si="7"/>
        <v>0.32</v>
      </c>
      <c r="AJ29" s="5">
        <f t="shared" si="7"/>
        <v>0.2</v>
      </c>
    </row>
    <row r="30" spans="1:36">
      <c r="A30" t="str">
        <f>"casthouse_procurement_archetype_"&amp;TEXT(ROUND(Table21319[[#This Row],[2016]],1),"0.0")</f>
        <v>casthouse_procurement_archetype_27.5</v>
      </c>
      <c r="B30" s="5">
        <f t="shared" si="2"/>
        <v>27.5</v>
      </c>
      <c r="C30" s="5">
        <f t="shared" si="6"/>
        <v>27.5</v>
      </c>
      <c r="D30" s="5">
        <f t="shared" si="6"/>
        <v>27.5</v>
      </c>
      <c r="E30" s="5">
        <f t="shared" si="6"/>
        <v>26.83</v>
      </c>
      <c r="F30" s="5">
        <f t="shared" si="6"/>
        <v>25.21</v>
      </c>
      <c r="G30" s="5">
        <f t="shared" si="6"/>
        <v>25.43</v>
      </c>
      <c r="H30" s="5">
        <f t="shared" si="6"/>
        <v>24.73</v>
      </c>
      <c r="I30" s="5">
        <f t="shared" si="6"/>
        <v>23.36</v>
      </c>
      <c r="J30" s="5">
        <f t="shared" si="6"/>
        <v>22.6</v>
      </c>
      <c r="K30" s="5">
        <f t="shared" si="6"/>
        <v>21.81</v>
      </c>
      <c r="L30" s="5">
        <f t="shared" si="6"/>
        <v>20.57</v>
      </c>
      <c r="M30" s="5">
        <f t="shared" si="6"/>
        <v>20.42</v>
      </c>
      <c r="N30" s="5">
        <f t="shared" si="6"/>
        <v>19.4</v>
      </c>
      <c r="O30" s="5">
        <f t="shared" si="6"/>
        <v>18.35</v>
      </c>
      <c r="P30" s="5">
        <f t="shared" si="6"/>
        <v>17.1</v>
      </c>
      <c r="Q30" s="5">
        <f t="shared" si="6"/>
        <v>14.68</v>
      </c>
      <c r="R30" s="5">
        <f t="shared" si="6"/>
        <v>11.41</v>
      </c>
      <c r="S30" s="5">
        <f t="shared" si="5"/>
        <v>10.36</v>
      </c>
      <c r="T30" s="5">
        <f t="shared" si="5"/>
        <v>8.1</v>
      </c>
      <c r="U30" s="5">
        <f t="shared" si="5"/>
        <v>5.81</v>
      </c>
      <c r="V30" s="5">
        <f t="shared" si="5"/>
        <v>5.39</v>
      </c>
      <c r="W30" s="5">
        <f t="shared" si="5"/>
        <v>4.11</v>
      </c>
      <c r="X30" s="5">
        <f t="shared" si="5"/>
        <v>3.47</v>
      </c>
      <c r="Y30" s="5">
        <f t="shared" si="5"/>
        <v>2.79</v>
      </c>
      <c r="Z30" s="5">
        <f t="shared" si="5"/>
        <v>2.69</v>
      </c>
      <c r="AA30" s="5">
        <f t="shared" ref="AA30:AJ82" si="8">MROUND((($B30-$AJ$2)*((AA$2-$AJ$2)/($B$2-$AJ$2)))+$AJ$2,0.01)</f>
        <v>2.38</v>
      </c>
      <c r="AB30" s="5">
        <f t="shared" si="8"/>
        <v>1.93</v>
      </c>
      <c r="AC30" s="5">
        <f t="shared" si="8"/>
        <v>1.57</v>
      </c>
      <c r="AD30" s="5">
        <f t="shared" si="8"/>
        <v>1.51</v>
      </c>
      <c r="AE30" s="5">
        <f t="shared" si="8"/>
        <v>1.26</v>
      </c>
      <c r="AF30" s="5">
        <f t="shared" si="8"/>
        <v>1.11</v>
      </c>
      <c r="AG30" s="5">
        <f t="shared" si="8"/>
        <v>0.99</v>
      </c>
      <c r="AH30" s="5">
        <f t="shared" si="8"/>
        <v>0.56</v>
      </c>
      <c r="AI30" s="5">
        <f t="shared" si="8"/>
        <v>0.32</v>
      </c>
      <c r="AJ30" s="5">
        <f t="shared" si="8"/>
        <v>0.2</v>
      </c>
    </row>
    <row r="31" spans="1:36">
      <c r="A31" t="str">
        <f>"casthouse_procurement_archetype_"&amp;TEXT(ROUND(Table21319[[#This Row],[2016]],1),"0.0")</f>
        <v>casthouse_procurement_archetype_27.4</v>
      </c>
      <c r="B31" s="5">
        <f t="shared" si="2"/>
        <v>27.4</v>
      </c>
      <c r="C31" s="5">
        <f t="shared" si="6"/>
        <v>27.4</v>
      </c>
      <c r="D31" s="5">
        <f t="shared" si="6"/>
        <v>27.4</v>
      </c>
      <c r="E31" s="5">
        <f t="shared" si="6"/>
        <v>26.73</v>
      </c>
      <c r="F31" s="5">
        <f t="shared" si="6"/>
        <v>25.11</v>
      </c>
      <c r="G31" s="5">
        <f t="shared" si="6"/>
        <v>25.34</v>
      </c>
      <c r="H31" s="5">
        <f t="shared" si="6"/>
        <v>24.64</v>
      </c>
      <c r="I31" s="5">
        <f t="shared" si="6"/>
        <v>23.28</v>
      </c>
      <c r="J31" s="5">
        <f t="shared" si="6"/>
        <v>22.52</v>
      </c>
      <c r="K31" s="5">
        <f t="shared" si="6"/>
        <v>21.73</v>
      </c>
      <c r="L31" s="5">
        <f t="shared" si="6"/>
        <v>20.5</v>
      </c>
      <c r="M31" s="5">
        <f t="shared" si="6"/>
        <v>20.35</v>
      </c>
      <c r="N31" s="5">
        <f t="shared" si="6"/>
        <v>19.33</v>
      </c>
      <c r="O31" s="5">
        <f t="shared" si="6"/>
        <v>18.28</v>
      </c>
      <c r="P31" s="5">
        <f t="shared" si="6"/>
        <v>17.04</v>
      </c>
      <c r="Q31" s="5">
        <f t="shared" si="6"/>
        <v>14.62</v>
      </c>
      <c r="R31" s="5">
        <f t="shared" si="6"/>
        <v>11.37</v>
      </c>
      <c r="S31" s="5">
        <f t="shared" si="5"/>
        <v>10.33</v>
      </c>
      <c r="T31" s="5">
        <f t="shared" si="5"/>
        <v>8.07</v>
      </c>
      <c r="U31" s="5">
        <f t="shared" si="5"/>
        <v>5.79</v>
      </c>
      <c r="V31" s="5">
        <f t="shared" si="5"/>
        <v>5.37</v>
      </c>
      <c r="W31" s="5">
        <f t="shared" si="5"/>
        <v>4.1</v>
      </c>
      <c r="X31" s="5">
        <f t="shared" si="5"/>
        <v>3.45</v>
      </c>
      <c r="Y31" s="5">
        <f t="shared" si="5"/>
        <v>2.78</v>
      </c>
      <c r="Z31" s="5">
        <f t="shared" si="5"/>
        <v>2.68</v>
      </c>
      <c r="AA31" s="5">
        <f t="shared" si="8"/>
        <v>2.37</v>
      </c>
      <c r="AB31" s="5">
        <f t="shared" si="8"/>
        <v>1.93</v>
      </c>
      <c r="AC31" s="5">
        <f t="shared" si="8"/>
        <v>1.56</v>
      </c>
      <c r="AD31" s="5">
        <f t="shared" si="8"/>
        <v>1.5</v>
      </c>
      <c r="AE31" s="5">
        <f t="shared" si="8"/>
        <v>1.25</v>
      </c>
      <c r="AF31" s="5">
        <f t="shared" si="8"/>
        <v>1.1</v>
      </c>
      <c r="AG31" s="5">
        <f t="shared" si="8"/>
        <v>0.99</v>
      </c>
      <c r="AH31" s="5">
        <f t="shared" si="8"/>
        <v>0.56</v>
      </c>
      <c r="AI31" s="5">
        <f t="shared" si="8"/>
        <v>0.32</v>
      </c>
      <c r="AJ31" s="5">
        <f t="shared" si="8"/>
        <v>0.2</v>
      </c>
    </row>
    <row r="32" spans="1:36">
      <c r="A32" t="str">
        <f>"casthouse_procurement_archetype_"&amp;TEXT(ROUND(Table21319[[#This Row],[2016]],1),"0.0")</f>
        <v>casthouse_procurement_archetype_27.3</v>
      </c>
      <c r="B32" s="5">
        <f t="shared" si="2"/>
        <v>27.3</v>
      </c>
      <c r="C32" s="5">
        <f t="shared" si="6"/>
        <v>27.3</v>
      </c>
      <c r="D32" s="5">
        <f t="shared" si="6"/>
        <v>27.3</v>
      </c>
      <c r="E32" s="5">
        <f t="shared" si="6"/>
        <v>26.63</v>
      </c>
      <c r="F32" s="5">
        <f t="shared" si="6"/>
        <v>25.02</v>
      </c>
      <c r="G32" s="5">
        <f t="shared" si="6"/>
        <v>25.25</v>
      </c>
      <c r="H32" s="5">
        <f t="shared" si="6"/>
        <v>24.55</v>
      </c>
      <c r="I32" s="5">
        <f t="shared" si="6"/>
        <v>23.19</v>
      </c>
      <c r="J32" s="5">
        <f t="shared" si="6"/>
        <v>22.43</v>
      </c>
      <c r="K32" s="5">
        <f t="shared" si="6"/>
        <v>21.65</v>
      </c>
      <c r="L32" s="5">
        <f t="shared" si="6"/>
        <v>20.42</v>
      </c>
      <c r="M32" s="5">
        <f t="shared" si="6"/>
        <v>20.27</v>
      </c>
      <c r="N32" s="5">
        <f t="shared" si="6"/>
        <v>19.26</v>
      </c>
      <c r="O32" s="5">
        <f t="shared" si="6"/>
        <v>18.22</v>
      </c>
      <c r="P32" s="5">
        <f t="shared" si="6"/>
        <v>16.98</v>
      </c>
      <c r="Q32" s="5">
        <f t="shared" si="6"/>
        <v>14.57</v>
      </c>
      <c r="R32" s="5">
        <f t="shared" si="6"/>
        <v>11.33</v>
      </c>
      <c r="S32" s="5">
        <f t="shared" si="5"/>
        <v>10.29</v>
      </c>
      <c r="T32" s="5">
        <f t="shared" si="5"/>
        <v>8.04</v>
      </c>
      <c r="U32" s="5">
        <f t="shared" si="5"/>
        <v>5.77</v>
      </c>
      <c r="V32" s="5">
        <f t="shared" si="5"/>
        <v>5.35</v>
      </c>
      <c r="W32" s="5">
        <f t="shared" si="5"/>
        <v>4.09</v>
      </c>
      <c r="X32" s="5">
        <f t="shared" si="5"/>
        <v>3.44</v>
      </c>
      <c r="Y32" s="5">
        <f t="shared" si="5"/>
        <v>2.77</v>
      </c>
      <c r="Z32" s="5">
        <f t="shared" si="5"/>
        <v>2.67</v>
      </c>
      <c r="AA32" s="5">
        <f t="shared" si="8"/>
        <v>2.36</v>
      </c>
      <c r="AB32" s="5">
        <f t="shared" si="8"/>
        <v>1.92</v>
      </c>
      <c r="AC32" s="5">
        <f t="shared" si="8"/>
        <v>1.56</v>
      </c>
      <c r="AD32" s="5">
        <f t="shared" si="8"/>
        <v>1.5</v>
      </c>
      <c r="AE32" s="5">
        <f t="shared" si="8"/>
        <v>1.25</v>
      </c>
      <c r="AF32" s="5">
        <f t="shared" si="8"/>
        <v>1.1</v>
      </c>
      <c r="AG32" s="5">
        <f t="shared" si="8"/>
        <v>0.98</v>
      </c>
      <c r="AH32" s="5">
        <f t="shared" si="8"/>
        <v>0.56</v>
      </c>
      <c r="AI32" s="5">
        <f t="shared" si="8"/>
        <v>0.32</v>
      </c>
      <c r="AJ32" s="5">
        <f t="shared" si="8"/>
        <v>0.2</v>
      </c>
    </row>
    <row r="33" spans="1:36">
      <c r="A33" t="str">
        <f>"casthouse_procurement_archetype_"&amp;TEXT(ROUND(Table21319[[#This Row],[2016]],1),"0.0")</f>
        <v>casthouse_procurement_archetype_27.2</v>
      </c>
      <c r="B33" s="5">
        <f t="shared" si="2"/>
        <v>27.2</v>
      </c>
      <c r="C33" s="5">
        <f t="shared" si="6"/>
        <v>27.2</v>
      </c>
      <c r="D33" s="5">
        <f t="shared" si="6"/>
        <v>27.2</v>
      </c>
      <c r="E33" s="5">
        <f t="shared" si="6"/>
        <v>26.54</v>
      </c>
      <c r="F33" s="5">
        <f t="shared" si="6"/>
        <v>24.93</v>
      </c>
      <c r="G33" s="5">
        <f t="shared" si="6"/>
        <v>25.15</v>
      </c>
      <c r="H33" s="5">
        <f t="shared" si="6"/>
        <v>24.46</v>
      </c>
      <c r="I33" s="5">
        <f t="shared" si="6"/>
        <v>23.11</v>
      </c>
      <c r="J33" s="5">
        <f t="shared" si="6"/>
        <v>22.35</v>
      </c>
      <c r="K33" s="5">
        <f t="shared" si="6"/>
        <v>21.58</v>
      </c>
      <c r="L33" s="5">
        <f t="shared" si="6"/>
        <v>20.35</v>
      </c>
      <c r="M33" s="5">
        <f t="shared" si="6"/>
        <v>20.2</v>
      </c>
      <c r="N33" s="5">
        <f t="shared" si="6"/>
        <v>19.19</v>
      </c>
      <c r="O33" s="5">
        <f t="shared" si="6"/>
        <v>18.15</v>
      </c>
      <c r="P33" s="5">
        <f t="shared" si="6"/>
        <v>16.92</v>
      </c>
      <c r="Q33" s="5">
        <f t="shared" si="6"/>
        <v>14.52</v>
      </c>
      <c r="R33" s="5">
        <f t="shared" si="6"/>
        <v>11.28</v>
      </c>
      <c r="S33" s="5">
        <f t="shared" si="5"/>
        <v>10.25</v>
      </c>
      <c r="T33" s="5">
        <f t="shared" si="5"/>
        <v>8.01</v>
      </c>
      <c r="U33" s="5">
        <f t="shared" si="5"/>
        <v>5.75</v>
      </c>
      <c r="V33" s="5">
        <f t="shared" si="5"/>
        <v>5.33</v>
      </c>
      <c r="W33" s="5">
        <f t="shared" si="5"/>
        <v>4.07</v>
      </c>
      <c r="X33" s="5">
        <f t="shared" si="5"/>
        <v>3.43</v>
      </c>
      <c r="Y33" s="5">
        <f t="shared" si="5"/>
        <v>2.76</v>
      </c>
      <c r="Z33" s="5">
        <f t="shared" si="5"/>
        <v>2.66</v>
      </c>
      <c r="AA33" s="5">
        <f t="shared" si="8"/>
        <v>2.36</v>
      </c>
      <c r="AB33" s="5">
        <f t="shared" si="8"/>
        <v>1.91</v>
      </c>
      <c r="AC33" s="5">
        <f t="shared" si="8"/>
        <v>1.55</v>
      </c>
      <c r="AD33" s="5">
        <f t="shared" si="8"/>
        <v>1.49</v>
      </c>
      <c r="AE33" s="5">
        <f t="shared" si="8"/>
        <v>1.25</v>
      </c>
      <c r="AF33" s="5">
        <f t="shared" si="8"/>
        <v>1.1</v>
      </c>
      <c r="AG33" s="5">
        <f t="shared" si="8"/>
        <v>0.98</v>
      </c>
      <c r="AH33" s="5">
        <f t="shared" si="8"/>
        <v>0.56</v>
      </c>
      <c r="AI33" s="5">
        <f t="shared" si="8"/>
        <v>0.31</v>
      </c>
      <c r="AJ33" s="5">
        <f t="shared" si="8"/>
        <v>0.2</v>
      </c>
    </row>
    <row r="34" spans="1:36">
      <c r="A34" t="str">
        <f>"casthouse_procurement_archetype_"&amp;TEXT(ROUND(Table21319[[#This Row],[2016]],1),"0.0")</f>
        <v>casthouse_procurement_archetype_27.1</v>
      </c>
      <c r="B34" s="5">
        <f t="shared" si="2"/>
        <v>27.1</v>
      </c>
      <c r="C34" s="5">
        <f t="shared" si="6"/>
        <v>27.1</v>
      </c>
      <c r="D34" s="5">
        <f t="shared" si="6"/>
        <v>27.1</v>
      </c>
      <c r="E34" s="5">
        <f t="shared" si="6"/>
        <v>26.44</v>
      </c>
      <c r="F34" s="5">
        <f t="shared" si="6"/>
        <v>24.84</v>
      </c>
      <c r="G34" s="5">
        <f t="shared" si="6"/>
        <v>25.06</v>
      </c>
      <c r="H34" s="5">
        <f t="shared" si="6"/>
        <v>24.37</v>
      </c>
      <c r="I34" s="5">
        <f t="shared" si="6"/>
        <v>23.02</v>
      </c>
      <c r="J34" s="5">
        <f t="shared" si="6"/>
        <v>22.27</v>
      </c>
      <c r="K34" s="5">
        <f t="shared" si="6"/>
        <v>21.5</v>
      </c>
      <c r="L34" s="5">
        <f t="shared" si="6"/>
        <v>20.27</v>
      </c>
      <c r="M34" s="5">
        <f t="shared" si="6"/>
        <v>20.12</v>
      </c>
      <c r="N34" s="5">
        <f t="shared" si="6"/>
        <v>19.12</v>
      </c>
      <c r="O34" s="5">
        <f t="shared" si="6"/>
        <v>18.08</v>
      </c>
      <c r="P34" s="5">
        <f t="shared" si="6"/>
        <v>16.85</v>
      </c>
      <c r="Q34" s="5">
        <f t="shared" si="6"/>
        <v>14.47</v>
      </c>
      <c r="R34" s="5">
        <f t="shared" si="6"/>
        <v>11.24</v>
      </c>
      <c r="S34" s="5">
        <f t="shared" si="5"/>
        <v>10.22</v>
      </c>
      <c r="T34" s="5">
        <f t="shared" si="5"/>
        <v>7.98</v>
      </c>
      <c r="U34" s="5">
        <f t="shared" si="5"/>
        <v>5.73</v>
      </c>
      <c r="V34" s="5">
        <f t="shared" si="5"/>
        <v>5.31</v>
      </c>
      <c r="W34" s="5">
        <f t="shared" si="5"/>
        <v>4.06</v>
      </c>
      <c r="X34" s="5">
        <f t="shared" si="5"/>
        <v>3.42</v>
      </c>
      <c r="Y34" s="5">
        <f t="shared" si="5"/>
        <v>2.75</v>
      </c>
      <c r="Z34" s="5">
        <f t="shared" si="5"/>
        <v>2.65</v>
      </c>
      <c r="AA34" s="5">
        <f t="shared" si="8"/>
        <v>2.35</v>
      </c>
      <c r="AB34" s="5">
        <f t="shared" si="8"/>
        <v>1.91</v>
      </c>
      <c r="AC34" s="5">
        <f t="shared" si="8"/>
        <v>1.55</v>
      </c>
      <c r="AD34" s="5">
        <f t="shared" si="8"/>
        <v>1.49</v>
      </c>
      <c r="AE34" s="5">
        <f t="shared" si="8"/>
        <v>1.24</v>
      </c>
      <c r="AF34" s="5">
        <f t="shared" si="8"/>
        <v>1.09</v>
      </c>
      <c r="AG34" s="5">
        <f t="shared" si="8"/>
        <v>0.98</v>
      </c>
      <c r="AH34" s="5">
        <f t="shared" si="8"/>
        <v>0.55</v>
      </c>
      <c r="AI34" s="5">
        <f t="shared" si="8"/>
        <v>0.31</v>
      </c>
      <c r="AJ34" s="5">
        <f t="shared" si="8"/>
        <v>0.2</v>
      </c>
    </row>
    <row r="35" spans="1:36">
      <c r="A35" t="str">
        <f>"casthouse_procurement_archetype_"&amp;TEXT(ROUND(Table21319[[#This Row],[2016]],1),"0.0")</f>
        <v>casthouse_procurement_archetype_27.0</v>
      </c>
      <c r="B35" s="5">
        <f t="shared" si="2"/>
        <v>27</v>
      </c>
      <c r="C35" s="5">
        <f t="shared" si="6"/>
        <v>27</v>
      </c>
      <c r="D35" s="5">
        <f t="shared" si="6"/>
        <v>27</v>
      </c>
      <c r="E35" s="5">
        <f t="shared" si="6"/>
        <v>26.34</v>
      </c>
      <c r="F35" s="5">
        <f t="shared" si="6"/>
        <v>24.75</v>
      </c>
      <c r="G35" s="5">
        <f t="shared" si="6"/>
        <v>24.97</v>
      </c>
      <c r="H35" s="5">
        <f t="shared" si="6"/>
        <v>24.28</v>
      </c>
      <c r="I35" s="5">
        <f t="shared" si="6"/>
        <v>22.94</v>
      </c>
      <c r="J35" s="5">
        <f t="shared" si="6"/>
        <v>22.19</v>
      </c>
      <c r="K35" s="5">
        <f t="shared" si="6"/>
        <v>21.42</v>
      </c>
      <c r="L35" s="5">
        <f t="shared" si="6"/>
        <v>20.2</v>
      </c>
      <c r="M35" s="5">
        <f t="shared" si="6"/>
        <v>20.05</v>
      </c>
      <c r="N35" s="5">
        <f t="shared" si="6"/>
        <v>19.05</v>
      </c>
      <c r="O35" s="5">
        <f t="shared" si="6"/>
        <v>18.02</v>
      </c>
      <c r="P35" s="5">
        <f t="shared" si="6"/>
        <v>16.79</v>
      </c>
      <c r="Q35" s="5">
        <f t="shared" si="6"/>
        <v>14.41</v>
      </c>
      <c r="R35" s="5">
        <f t="shared" si="6"/>
        <v>11.2</v>
      </c>
      <c r="S35" s="5">
        <f t="shared" si="5"/>
        <v>10.18</v>
      </c>
      <c r="T35" s="5">
        <f t="shared" si="5"/>
        <v>7.95</v>
      </c>
      <c r="U35" s="5">
        <f t="shared" si="5"/>
        <v>5.71</v>
      </c>
      <c r="V35" s="5">
        <f t="shared" si="5"/>
        <v>5.3</v>
      </c>
      <c r="W35" s="5">
        <f t="shared" si="5"/>
        <v>4.04</v>
      </c>
      <c r="X35" s="5">
        <f t="shared" si="5"/>
        <v>3.41</v>
      </c>
      <c r="Y35" s="5">
        <f t="shared" si="5"/>
        <v>2.75</v>
      </c>
      <c r="Z35" s="5">
        <f t="shared" si="5"/>
        <v>2.64</v>
      </c>
      <c r="AA35" s="5">
        <f t="shared" si="8"/>
        <v>2.34</v>
      </c>
      <c r="AB35" s="5">
        <f t="shared" si="8"/>
        <v>1.9</v>
      </c>
      <c r="AC35" s="5">
        <f t="shared" si="8"/>
        <v>1.54</v>
      </c>
      <c r="AD35" s="5">
        <f t="shared" si="8"/>
        <v>1.48</v>
      </c>
      <c r="AE35" s="5">
        <f t="shared" si="8"/>
        <v>1.24</v>
      </c>
      <c r="AF35" s="5">
        <f t="shared" si="8"/>
        <v>1.09</v>
      </c>
      <c r="AG35" s="5">
        <f t="shared" si="8"/>
        <v>0.98</v>
      </c>
      <c r="AH35" s="5">
        <f t="shared" si="8"/>
        <v>0.55</v>
      </c>
      <c r="AI35" s="5">
        <f t="shared" si="8"/>
        <v>0.31</v>
      </c>
      <c r="AJ35" s="5">
        <f t="shared" si="8"/>
        <v>0.2</v>
      </c>
    </row>
    <row r="36" spans="1:36">
      <c r="A36" t="str">
        <f>"casthouse_procurement_archetype_"&amp;TEXT(ROUND(Table21319[[#This Row],[2016]],1),"0.0")</f>
        <v>casthouse_procurement_archetype_26.9</v>
      </c>
      <c r="B36" s="5">
        <f t="shared" si="2"/>
        <v>26.9</v>
      </c>
      <c r="C36" s="5">
        <f t="shared" si="6"/>
        <v>26.9</v>
      </c>
      <c r="D36" s="5">
        <f t="shared" si="6"/>
        <v>26.9</v>
      </c>
      <c r="E36" s="5">
        <f t="shared" si="6"/>
        <v>26.24</v>
      </c>
      <c r="F36" s="5">
        <f t="shared" si="6"/>
        <v>24.66</v>
      </c>
      <c r="G36" s="5">
        <f t="shared" si="6"/>
        <v>24.88</v>
      </c>
      <c r="H36" s="5">
        <f t="shared" si="6"/>
        <v>24.19</v>
      </c>
      <c r="I36" s="5">
        <f t="shared" si="6"/>
        <v>22.86</v>
      </c>
      <c r="J36" s="5">
        <f t="shared" si="6"/>
        <v>22.11</v>
      </c>
      <c r="K36" s="5">
        <f t="shared" si="6"/>
        <v>21.34</v>
      </c>
      <c r="L36" s="5">
        <f t="shared" si="6"/>
        <v>20.12</v>
      </c>
      <c r="M36" s="5">
        <f t="shared" si="6"/>
        <v>19.98</v>
      </c>
      <c r="N36" s="5">
        <f t="shared" si="6"/>
        <v>18.98</v>
      </c>
      <c r="O36" s="5">
        <f t="shared" si="6"/>
        <v>17.95</v>
      </c>
      <c r="P36" s="5">
        <f t="shared" si="6"/>
        <v>16.73</v>
      </c>
      <c r="Q36" s="5">
        <f t="shared" si="6"/>
        <v>14.36</v>
      </c>
      <c r="R36" s="5">
        <f t="shared" si="6"/>
        <v>11.16</v>
      </c>
      <c r="S36" s="5">
        <f t="shared" si="5"/>
        <v>10.14</v>
      </c>
      <c r="T36" s="5">
        <f t="shared" si="5"/>
        <v>7.92</v>
      </c>
      <c r="U36" s="5">
        <f t="shared" si="5"/>
        <v>5.69</v>
      </c>
      <c r="V36" s="5">
        <f t="shared" si="5"/>
        <v>5.28</v>
      </c>
      <c r="W36" s="5">
        <f t="shared" si="5"/>
        <v>4.03</v>
      </c>
      <c r="X36" s="5">
        <f t="shared" si="5"/>
        <v>3.39</v>
      </c>
      <c r="Y36" s="5">
        <f t="shared" si="5"/>
        <v>2.74</v>
      </c>
      <c r="Z36" s="5">
        <f t="shared" si="5"/>
        <v>2.63</v>
      </c>
      <c r="AA36" s="5">
        <f t="shared" si="8"/>
        <v>2.33</v>
      </c>
      <c r="AB36" s="5">
        <f t="shared" si="8"/>
        <v>1.9</v>
      </c>
      <c r="AC36" s="5">
        <f t="shared" si="8"/>
        <v>1.54</v>
      </c>
      <c r="AD36" s="5">
        <f t="shared" si="8"/>
        <v>1.48</v>
      </c>
      <c r="AE36" s="5">
        <f t="shared" si="8"/>
        <v>1.24</v>
      </c>
      <c r="AF36" s="5">
        <f t="shared" si="8"/>
        <v>1.09</v>
      </c>
      <c r="AG36" s="5">
        <f t="shared" si="8"/>
        <v>0.97</v>
      </c>
      <c r="AH36" s="5">
        <f t="shared" si="8"/>
        <v>0.55</v>
      </c>
      <c r="AI36" s="5">
        <f t="shared" si="8"/>
        <v>0.31</v>
      </c>
      <c r="AJ36" s="5">
        <f t="shared" si="8"/>
        <v>0.2</v>
      </c>
    </row>
    <row r="37" spans="1:36">
      <c r="A37" t="str">
        <f>"casthouse_procurement_archetype_"&amp;TEXT(ROUND(Table21319[[#This Row],[2016]],1),"0.0")</f>
        <v>casthouse_procurement_archetype_26.8</v>
      </c>
      <c r="B37" s="5">
        <f t="shared" si="2"/>
        <v>26.8</v>
      </c>
      <c r="C37" s="5">
        <f t="shared" si="6"/>
        <v>26.8</v>
      </c>
      <c r="D37" s="5">
        <f t="shared" si="6"/>
        <v>26.8</v>
      </c>
      <c r="E37" s="5">
        <f t="shared" si="6"/>
        <v>26.15</v>
      </c>
      <c r="F37" s="5">
        <f t="shared" si="6"/>
        <v>24.56</v>
      </c>
      <c r="G37" s="5">
        <f t="shared" si="6"/>
        <v>24.79</v>
      </c>
      <c r="H37" s="5">
        <f t="shared" si="6"/>
        <v>24.1</v>
      </c>
      <c r="I37" s="5">
        <f t="shared" si="6"/>
        <v>22.77</v>
      </c>
      <c r="J37" s="5">
        <f t="shared" si="6"/>
        <v>22.02</v>
      </c>
      <c r="K37" s="5">
        <f t="shared" si="6"/>
        <v>21.26</v>
      </c>
      <c r="L37" s="5">
        <f t="shared" si="6"/>
        <v>20.05</v>
      </c>
      <c r="M37" s="5">
        <f t="shared" si="6"/>
        <v>19.9</v>
      </c>
      <c r="N37" s="5">
        <f t="shared" si="6"/>
        <v>18.91</v>
      </c>
      <c r="O37" s="5">
        <f t="shared" si="6"/>
        <v>17.88</v>
      </c>
      <c r="P37" s="5">
        <f t="shared" si="6"/>
        <v>16.67</v>
      </c>
      <c r="Q37" s="5">
        <f t="shared" si="6"/>
        <v>14.31</v>
      </c>
      <c r="R37" s="5">
        <f t="shared" si="6"/>
        <v>11.12</v>
      </c>
      <c r="S37" s="5">
        <f t="shared" si="5"/>
        <v>10.1</v>
      </c>
      <c r="T37" s="5">
        <f t="shared" si="5"/>
        <v>7.9</v>
      </c>
      <c r="U37" s="5">
        <f t="shared" si="5"/>
        <v>5.67</v>
      </c>
      <c r="V37" s="5">
        <f t="shared" si="5"/>
        <v>5.26</v>
      </c>
      <c r="W37" s="5">
        <f t="shared" si="5"/>
        <v>4.01</v>
      </c>
      <c r="X37" s="5">
        <f t="shared" si="5"/>
        <v>3.38</v>
      </c>
      <c r="Y37" s="5">
        <f t="shared" si="5"/>
        <v>2.73</v>
      </c>
      <c r="Z37" s="5">
        <f t="shared" si="5"/>
        <v>2.62</v>
      </c>
      <c r="AA37" s="5">
        <f t="shared" si="8"/>
        <v>2.32</v>
      </c>
      <c r="AB37" s="5">
        <f t="shared" si="8"/>
        <v>1.89</v>
      </c>
      <c r="AC37" s="5">
        <f t="shared" si="8"/>
        <v>1.53</v>
      </c>
      <c r="AD37" s="5">
        <f t="shared" si="8"/>
        <v>1.47</v>
      </c>
      <c r="AE37" s="5">
        <f t="shared" si="8"/>
        <v>1.23</v>
      </c>
      <c r="AF37" s="5">
        <f t="shared" si="8"/>
        <v>1.08</v>
      </c>
      <c r="AG37" s="5">
        <f t="shared" si="8"/>
        <v>0.97</v>
      </c>
      <c r="AH37" s="5">
        <f t="shared" si="8"/>
        <v>0.55</v>
      </c>
      <c r="AI37" s="5">
        <f t="shared" si="8"/>
        <v>0.31</v>
      </c>
      <c r="AJ37" s="5">
        <f t="shared" si="8"/>
        <v>0.2</v>
      </c>
    </row>
    <row r="38" spans="1:36">
      <c r="A38" t="str">
        <f>"casthouse_procurement_archetype_"&amp;TEXT(ROUND(Table21319[[#This Row],[2016]],1),"0.0")</f>
        <v>casthouse_procurement_archetype_26.7</v>
      </c>
      <c r="B38" s="5">
        <f t="shared" si="2"/>
        <v>26.7</v>
      </c>
      <c r="C38" s="5">
        <f t="shared" si="6"/>
        <v>26.7</v>
      </c>
      <c r="D38" s="5">
        <f t="shared" si="6"/>
        <v>26.7</v>
      </c>
      <c r="E38" s="5">
        <f t="shared" si="6"/>
        <v>26.05</v>
      </c>
      <c r="F38" s="5">
        <f t="shared" si="6"/>
        <v>24.47</v>
      </c>
      <c r="G38" s="5">
        <f t="shared" si="6"/>
        <v>24.69</v>
      </c>
      <c r="H38" s="5">
        <f t="shared" si="6"/>
        <v>24.01</v>
      </c>
      <c r="I38" s="5">
        <f t="shared" si="6"/>
        <v>22.69</v>
      </c>
      <c r="J38" s="5">
        <f t="shared" si="6"/>
        <v>21.94</v>
      </c>
      <c r="K38" s="5">
        <f t="shared" si="6"/>
        <v>21.18</v>
      </c>
      <c r="L38" s="5">
        <f t="shared" si="6"/>
        <v>19.97</v>
      </c>
      <c r="M38" s="5">
        <f t="shared" si="6"/>
        <v>19.83</v>
      </c>
      <c r="N38" s="5">
        <f t="shared" si="6"/>
        <v>18.84</v>
      </c>
      <c r="O38" s="5">
        <f t="shared" si="6"/>
        <v>17.82</v>
      </c>
      <c r="P38" s="5">
        <f t="shared" si="6"/>
        <v>16.61</v>
      </c>
      <c r="Q38" s="5">
        <f t="shared" si="6"/>
        <v>14.25</v>
      </c>
      <c r="R38" s="5">
        <f t="shared" si="6"/>
        <v>11.08</v>
      </c>
      <c r="S38" s="5">
        <f t="shared" si="5"/>
        <v>10.07</v>
      </c>
      <c r="T38" s="5">
        <f t="shared" si="5"/>
        <v>7.87</v>
      </c>
      <c r="U38" s="5">
        <f t="shared" si="5"/>
        <v>5.65</v>
      </c>
      <c r="V38" s="5">
        <f t="shared" si="5"/>
        <v>5.24</v>
      </c>
      <c r="W38" s="5">
        <f t="shared" si="5"/>
        <v>4</v>
      </c>
      <c r="X38" s="5">
        <f t="shared" si="5"/>
        <v>3.37</v>
      </c>
      <c r="Y38" s="5">
        <f t="shared" si="5"/>
        <v>2.72</v>
      </c>
      <c r="Z38" s="5">
        <f t="shared" si="5"/>
        <v>2.61</v>
      </c>
      <c r="AA38" s="5">
        <f t="shared" si="8"/>
        <v>2.32</v>
      </c>
      <c r="AB38" s="5">
        <f t="shared" si="8"/>
        <v>1.88</v>
      </c>
      <c r="AC38" s="5">
        <f t="shared" si="8"/>
        <v>1.53</v>
      </c>
      <c r="AD38" s="5">
        <f t="shared" si="8"/>
        <v>1.47</v>
      </c>
      <c r="AE38" s="5">
        <f t="shared" si="8"/>
        <v>1.23</v>
      </c>
      <c r="AF38" s="5">
        <f t="shared" si="8"/>
        <v>1.08</v>
      </c>
      <c r="AG38" s="5">
        <f t="shared" si="8"/>
        <v>0.97</v>
      </c>
      <c r="AH38" s="5">
        <f t="shared" si="8"/>
        <v>0.55</v>
      </c>
      <c r="AI38" s="5">
        <f t="shared" si="8"/>
        <v>0.31</v>
      </c>
      <c r="AJ38" s="5">
        <f t="shared" si="8"/>
        <v>0.2</v>
      </c>
    </row>
    <row r="39" spans="1:36">
      <c r="A39" t="str">
        <f>"casthouse_procurement_archetype_"&amp;TEXT(ROUND(Table21319[[#This Row],[2016]],1),"0.0")</f>
        <v>casthouse_procurement_archetype_26.6</v>
      </c>
      <c r="B39" s="5">
        <f t="shared" si="2"/>
        <v>26.6</v>
      </c>
      <c r="C39" s="5">
        <f t="shared" si="6"/>
        <v>26.6</v>
      </c>
      <c r="D39" s="5">
        <f t="shared" si="6"/>
        <v>26.6</v>
      </c>
      <c r="E39" s="5">
        <f t="shared" si="6"/>
        <v>25.95</v>
      </c>
      <c r="F39" s="5">
        <f t="shared" si="6"/>
        <v>24.38</v>
      </c>
      <c r="G39" s="5">
        <f t="shared" si="6"/>
        <v>24.6</v>
      </c>
      <c r="H39" s="5">
        <f t="shared" si="6"/>
        <v>23.92</v>
      </c>
      <c r="I39" s="5">
        <f t="shared" si="6"/>
        <v>22.6</v>
      </c>
      <c r="J39" s="5">
        <f t="shared" si="6"/>
        <v>21.86</v>
      </c>
      <c r="K39" s="5">
        <f t="shared" si="6"/>
        <v>21.1</v>
      </c>
      <c r="L39" s="5">
        <f t="shared" si="6"/>
        <v>19.9</v>
      </c>
      <c r="M39" s="5">
        <f t="shared" si="6"/>
        <v>19.75</v>
      </c>
      <c r="N39" s="5">
        <f t="shared" si="6"/>
        <v>18.77</v>
      </c>
      <c r="O39" s="5">
        <f t="shared" si="6"/>
        <v>17.75</v>
      </c>
      <c r="P39" s="5">
        <f t="shared" si="6"/>
        <v>16.54</v>
      </c>
      <c r="Q39" s="5">
        <f t="shared" si="6"/>
        <v>14.2</v>
      </c>
      <c r="R39" s="5">
        <f t="shared" si="6"/>
        <v>11.04</v>
      </c>
      <c r="S39" s="5">
        <f t="shared" si="5"/>
        <v>10.03</v>
      </c>
      <c r="T39" s="5">
        <f t="shared" si="5"/>
        <v>7.84</v>
      </c>
      <c r="U39" s="5">
        <f t="shared" si="5"/>
        <v>5.63</v>
      </c>
      <c r="V39" s="5">
        <f t="shared" si="5"/>
        <v>5.22</v>
      </c>
      <c r="W39" s="5">
        <f t="shared" si="5"/>
        <v>3.99</v>
      </c>
      <c r="X39" s="5">
        <f t="shared" si="5"/>
        <v>3.36</v>
      </c>
      <c r="Y39" s="5">
        <f t="shared" si="5"/>
        <v>2.71</v>
      </c>
      <c r="Z39" s="5">
        <f t="shared" si="5"/>
        <v>2.61</v>
      </c>
      <c r="AA39" s="5">
        <f t="shared" si="8"/>
        <v>2.31</v>
      </c>
      <c r="AB39" s="5">
        <f t="shared" si="8"/>
        <v>1.88</v>
      </c>
      <c r="AC39" s="5">
        <f t="shared" si="8"/>
        <v>1.52</v>
      </c>
      <c r="AD39" s="5">
        <f t="shared" si="8"/>
        <v>1.46</v>
      </c>
      <c r="AE39" s="5">
        <f t="shared" si="8"/>
        <v>1.22</v>
      </c>
      <c r="AF39" s="5">
        <f t="shared" si="8"/>
        <v>1.08</v>
      </c>
      <c r="AG39" s="5">
        <f t="shared" si="8"/>
        <v>0.96</v>
      </c>
      <c r="AH39" s="5">
        <f t="shared" si="8"/>
        <v>0.55</v>
      </c>
      <c r="AI39" s="5">
        <f t="shared" si="8"/>
        <v>0.31</v>
      </c>
      <c r="AJ39" s="5">
        <f t="shared" si="8"/>
        <v>0.2</v>
      </c>
    </row>
    <row r="40" spans="1:36">
      <c r="A40" t="str">
        <f>"casthouse_procurement_archetype_"&amp;TEXT(ROUND(Table21319[[#This Row],[2016]],1),"0.0")</f>
        <v>casthouse_procurement_archetype_26.5</v>
      </c>
      <c r="B40" s="5">
        <f t="shared" si="2"/>
        <v>26.5</v>
      </c>
      <c r="C40" s="5">
        <f t="shared" si="6"/>
        <v>26.5</v>
      </c>
      <c r="D40" s="5">
        <f t="shared" si="6"/>
        <v>26.5</v>
      </c>
      <c r="E40" s="5">
        <f t="shared" si="6"/>
        <v>25.85</v>
      </c>
      <c r="F40" s="5">
        <f t="shared" si="6"/>
        <v>24.29</v>
      </c>
      <c r="G40" s="5">
        <f t="shared" si="6"/>
        <v>24.51</v>
      </c>
      <c r="H40" s="5">
        <f t="shared" si="6"/>
        <v>23.83</v>
      </c>
      <c r="I40" s="5">
        <f t="shared" si="6"/>
        <v>22.52</v>
      </c>
      <c r="J40" s="5">
        <f t="shared" si="6"/>
        <v>21.78</v>
      </c>
      <c r="K40" s="5">
        <f t="shared" si="6"/>
        <v>21.02</v>
      </c>
      <c r="L40" s="5">
        <f t="shared" si="6"/>
        <v>19.82</v>
      </c>
      <c r="M40" s="5">
        <f t="shared" si="6"/>
        <v>19.68</v>
      </c>
      <c r="N40" s="5">
        <f t="shared" si="6"/>
        <v>18.7</v>
      </c>
      <c r="O40" s="5">
        <f t="shared" si="6"/>
        <v>17.68</v>
      </c>
      <c r="P40" s="5">
        <f t="shared" si="6"/>
        <v>16.48</v>
      </c>
      <c r="Q40" s="5">
        <f t="shared" si="6"/>
        <v>14.15</v>
      </c>
      <c r="R40" s="5">
        <f t="shared" si="6"/>
        <v>11</v>
      </c>
      <c r="S40" s="5">
        <f t="shared" si="5"/>
        <v>9.99</v>
      </c>
      <c r="T40" s="5">
        <f t="shared" si="5"/>
        <v>7.81</v>
      </c>
      <c r="U40" s="5">
        <f t="shared" si="5"/>
        <v>5.61</v>
      </c>
      <c r="V40" s="5">
        <f t="shared" si="5"/>
        <v>5.2</v>
      </c>
      <c r="W40" s="5">
        <f t="shared" si="5"/>
        <v>3.97</v>
      </c>
      <c r="X40" s="5">
        <f t="shared" si="5"/>
        <v>3.35</v>
      </c>
      <c r="Y40" s="5">
        <f t="shared" si="5"/>
        <v>2.7</v>
      </c>
      <c r="Z40" s="5">
        <f t="shared" si="5"/>
        <v>2.6</v>
      </c>
      <c r="AA40" s="5">
        <f t="shared" si="8"/>
        <v>2.3</v>
      </c>
      <c r="AB40" s="5">
        <f t="shared" si="8"/>
        <v>1.87</v>
      </c>
      <c r="AC40" s="5">
        <f t="shared" si="8"/>
        <v>1.52</v>
      </c>
      <c r="AD40" s="5">
        <f t="shared" si="8"/>
        <v>1.46</v>
      </c>
      <c r="AE40" s="5">
        <f t="shared" si="8"/>
        <v>1.22</v>
      </c>
      <c r="AF40" s="5">
        <f t="shared" si="8"/>
        <v>1.07</v>
      </c>
      <c r="AG40" s="5">
        <f t="shared" si="8"/>
        <v>0.96</v>
      </c>
      <c r="AH40" s="5">
        <f t="shared" si="8"/>
        <v>0.55</v>
      </c>
      <c r="AI40" s="5">
        <f t="shared" si="8"/>
        <v>0.31</v>
      </c>
      <c r="AJ40" s="5">
        <f t="shared" si="8"/>
        <v>0.2</v>
      </c>
    </row>
    <row r="41" spans="1:36">
      <c r="A41" t="str">
        <f>"casthouse_procurement_archetype_"&amp;TEXT(ROUND(Table21319[[#This Row],[2016]],1),"0.0")</f>
        <v>casthouse_procurement_archetype_26.4</v>
      </c>
      <c r="B41" s="5">
        <f t="shared" si="2"/>
        <v>26.4</v>
      </c>
      <c r="C41" s="5">
        <f t="shared" si="6"/>
        <v>26.4</v>
      </c>
      <c r="D41" s="5">
        <f t="shared" si="6"/>
        <v>26.4</v>
      </c>
      <c r="E41" s="5">
        <f t="shared" si="6"/>
        <v>25.76</v>
      </c>
      <c r="F41" s="5">
        <f t="shared" si="6"/>
        <v>24.2</v>
      </c>
      <c r="G41" s="5">
        <f t="shared" si="6"/>
        <v>24.42</v>
      </c>
      <c r="H41" s="5">
        <f t="shared" si="6"/>
        <v>23.74</v>
      </c>
      <c r="I41" s="5">
        <f t="shared" si="6"/>
        <v>22.43</v>
      </c>
      <c r="J41" s="5">
        <f t="shared" si="6"/>
        <v>21.7</v>
      </c>
      <c r="K41" s="5">
        <f t="shared" si="6"/>
        <v>20.94</v>
      </c>
      <c r="L41" s="5">
        <f t="shared" si="6"/>
        <v>19.75</v>
      </c>
      <c r="M41" s="5">
        <f t="shared" si="6"/>
        <v>19.61</v>
      </c>
      <c r="N41" s="5">
        <f t="shared" si="6"/>
        <v>18.63</v>
      </c>
      <c r="O41" s="5">
        <f t="shared" si="6"/>
        <v>17.62</v>
      </c>
      <c r="P41" s="5">
        <f t="shared" si="6"/>
        <v>16.42</v>
      </c>
      <c r="Q41" s="5">
        <f t="shared" si="6"/>
        <v>14.09</v>
      </c>
      <c r="R41" s="5">
        <f t="shared" si="6"/>
        <v>10.96</v>
      </c>
      <c r="S41" s="5">
        <f t="shared" si="5"/>
        <v>9.96</v>
      </c>
      <c r="T41" s="5">
        <f t="shared" si="5"/>
        <v>7.78</v>
      </c>
      <c r="U41" s="5">
        <f t="shared" si="5"/>
        <v>5.59</v>
      </c>
      <c r="V41" s="5">
        <f t="shared" si="5"/>
        <v>5.18</v>
      </c>
      <c r="W41" s="5">
        <f t="shared" si="5"/>
        <v>3.96</v>
      </c>
      <c r="X41" s="5">
        <f t="shared" si="5"/>
        <v>3.33</v>
      </c>
      <c r="Y41" s="5">
        <f t="shared" si="5"/>
        <v>2.69</v>
      </c>
      <c r="Z41" s="5">
        <f t="shared" si="5"/>
        <v>2.59</v>
      </c>
      <c r="AA41" s="5">
        <f t="shared" si="8"/>
        <v>2.29</v>
      </c>
      <c r="AB41" s="5">
        <f t="shared" si="8"/>
        <v>1.86</v>
      </c>
      <c r="AC41" s="5">
        <f t="shared" si="8"/>
        <v>1.51</v>
      </c>
      <c r="AD41" s="5">
        <f t="shared" si="8"/>
        <v>1.45</v>
      </c>
      <c r="AE41" s="5">
        <f t="shared" si="8"/>
        <v>1.22</v>
      </c>
      <c r="AF41" s="5">
        <f t="shared" si="8"/>
        <v>1.07</v>
      </c>
      <c r="AG41" s="5">
        <f t="shared" si="8"/>
        <v>0.96</v>
      </c>
      <c r="AH41" s="5">
        <f t="shared" si="8"/>
        <v>0.54</v>
      </c>
      <c r="AI41" s="5">
        <f t="shared" si="8"/>
        <v>0.31</v>
      </c>
      <c r="AJ41" s="5">
        <f t="shared" si="8"/>
        <v>0.2</v>
      </c>
    </row>
    <row r="42" spans="1:36">
      <c r="A42" t="str">
        <f>"casthouse_procurement_archetype_"&amp;TEXT(ROUND(Table21319[[#This Row],[2016]],1),"0.0")</f>
        <v>casthouse_procurement_archetype_26.3</v>
      </c>
      <c r="B42" s="5">
        <f t="shared" si="2"/>
        <v>26.3</v>
      </c>
      <c r="C42" s="5">
        <f t="shared" si="6"/>
        <v>26.3</v>
      </c>
      <c r="D42" s="5">
        <f t="shared" si="6"/>
        <v>26.3</v>
      </c>
      <c r="E42" s="5">
        <f t="shared" si="6"/>
        <v>25.66</v>
      </c>
      <c r="F42" s="5">
        <f t="shared" si="6"/>
        <v>24.11</v>
      </c>
      <c r="G42" s="5">
        <f t="shared" si="6"/>
        <v>24.32</v>
      </c>
      <c r="H42" s="5">
        <f t="shared" si="6"/>
        <v>23.65</v>
      </c>
      <c r="I42" s="5">
        <f t="shared" si="6"/>
        <v>22.35</v>
      </c>
      <c r="J42" s="5">
        <f t="shared" si="6"/>
        <v>21.61</v>
      </c>
      <c r="K42" s="5">
        <f t="shared" si="6"/>
        <v>20.86</v>
      </c>
      <c r="L42" s="5">
        <f t="shared" si="6"/>
        <v>19.68</v>
      </c>
      <c r="M42" s="5">
        <f t="shared" si="6"/>
        <v>19.53</v>
      </c>
      <c r="N42" s="5">
        <f t="shared" si="6"/>
        <v>18.56</v>
      </c>
      <c r="O42" s="5">
        <f t="shared" si="6"/>
        <v>17.55</v>
      </c>
      <c r="P42" s="5">
        <f t="shared" si="6"/>
        <v>16.36</v>
      </c>
      <c r="Q42" s="5">
        <f t="shared" si="6"/>
        <v>14.04</v>
      </c>
      <c r="R42" s="5">
        <f t="shared" si="6"/>
        <v>10.91</v>
      </c>
      <c r="S42" s="5">
        <f t="shared" si="5"/>
        <v>9.92</v>
      </c>
      <c r="T42" s="5">
        <f t="shared" si="5"/>
        <v>7.75</v>
      </c>
      <c r="U42" s="5">
        <f t="shared" si="5"/>
        <v>5.57</v>
      </c>
      <c r="V42" s="5">
        <f t="shared" si="5"/>
        <v>5.16</v>
      </c>
      <c r="W42" s="5">
        <f t="shared" si="5"/>
        <v>3.94</v>
      </c>
      <c r="X42" s="5">
        <f t="shared" si="5"/>
        <v>3.32</v>
      </c>
      <c r="Y42" s="5">
        <f t="shared" si="5"/>
        <v>2.68</v>
      </c>
      <c r="Z42" s="5">
        <f t="shared" si="5"/>
        <v>2.58</v>
      </c>
      <c r="AA42" s="5">
        <f t="shared" si="8"/>
        <v>2.29</v>
      </c>
      <c r="AB42" s="5">
        <f t="shared" si="8"/>
        <v>1.86</v>
      </c>
      <c r="AC42" s="5">
        <f t="shared" si="8"/>
        <v>1.51</v>
      </c>
      <c r="AD42" s="5">
        <f t="shared" si="8"/>
        <v>1.45</v>
      </c>
      <c r="AE42" s="5">
        <f t="shared" si="8"/>
        <v>1.21</v>
      </c>
      <c r="AF42" s="5">
        <f t="shared" si="8"/>
        <v>1.07</v>
      </c>
      <c r="AG42" s="5">
        <f t="shared" si="8"/>
        <v>0.96</v>
      </c>
      <c r="AH42" s="5">
        <f t="shared" si="8"/>
        <v>0.54</v>
      </c>
      <c r="AI42" s="5">
        <f t="shared" si="8"/>
        <v>0.31</v>
      </c>
      <c r="AJ42" s="5">
        <f t="shared" si="8"/>
        <v>0.2</v>
      </c>
    </row>
    <row r="43" spans="1:36">
      <c r="A43" t="str">
        <f>"casthouse_procurement_archetype_"&amp;TEXT(ROUND(Table21319[[#This Row],[2016]],1),"0.0")</f>
        <v>casthouse_procurement_archetype_26.2</v>
      </c>
      <c r="B43" s="5">
        <f t="shared" si="2"/>
        <v>26.2</v>
      </c>
      <c r="C43" s="5">
        <f t="shared" si="6"/>
        <v>26.2</v>
      </c>
      <c r="D43" s="5">
        <f t="shared" si="6"/>
        <v>26.2</v>
      </c>
      <c r="E43" s="5">
        <f t="shared" si="6"/>
        <v>25.56</v>
      </c>
      <c r="F43" s="5">
        <f t="shared" si="6"/>
        <v>24.01</v>
      </c>
      <c r="G43" s="5">
        <f t="shared" si="6"/>
        <v>24.23</v>
      </c>
      <c r="H43" s="5">
        <f t="shared" si="6"/>
        <v>23.56</v>
      </c>
      <c r="I43" s="5">
        <f t="shared" si="6"/>
        <v>22.26</v>
      </c>
      <c r="J43" s="5">
        <f t="shared" si="6"/>
        <v>21.53</v>
      </c>
      <c r="K43" s="5">
        <f t="shared" si="6"/>
        <v>20.78</v>
      </c>
      <c r="L43" s="5">
        <f t="shared" si="6"/>
        <v>19.6</v>
      </c>
      <c r="M43" s="5">
        <f t="shared" si="6"/>
        <v>19.46</v>
      </c>
      <c r="N43" s="5">
        <f t="shared" si="6"/>
        <v>18.49</v>
      </c>
      <c r="O43" s="5">
        <f t="shared" si="6"/>
        <v>17.48</v>
      </c>
      <c r="P43" s="5">
        <f t="shared" si="6"/>
        <v>16.3</v>
      </c>
      <c r="Q43" s="5">
        <f t="shared" si="6"/>
        <v>13.99</v>
      </c>
      <c r="R43" s="5">
        <f t="shared" si="6"/>
        <v>10.87</v>
      </c>
      <c r="S43" s="5">
        <f t="shared" si="5"/>
        <v>9.88</v>
      </c>
      <c r="T43" s="5">
        <f t="shared" si="5"/>
        <v>7.72</v>
      </c>
      <c r="U43" s="5">
        <f t="shared" si="5"/>
        <v>5.55</v>
      </c>
      <c r="V43" s="5">
        <f t="shared" si="5"/>
        <v>5.14</v>
      </c>
      <c r="W43" s="5">
        <f t="shared" si="5"/>
        <v>3.93</v>
      </c>
      <c r="X43" s="5">
        <f t="shared" si="5"/>
        <v>3.31</v>
      </c>
      <c r="Y43" s="5">
        <f t="shared" si="5"/>
        <v>2.67</v>
      </c>
      <c r="Z43" s="5">
        <f t="shared" si="5"/>
        <v>2.57</v>
      </c>
      <c r="AA43" s="5">
        <f t="shared" si="8"/>
        <v>2.28</v>
      </c>
      <c r="AB43" s="5">
        <f t="shared" si="8"/>
        <v>1.85</v>
      </c>
      <c r="AC43" s="5">
        <f t="shared" si="8"/>
        <v>1.5</v>
      </c>
      <c r="AD43" s="5">
        <f t="shared" si="8"/>
        <v>1.44</v>
      </c>
      <c r="AE43" s="5">
        <f t="shared" si="8"/>
        <v>1.21</v>
      </c>
      <c r="AF43" s="5">
        <f t="shared" si="8"/>
        <v>1.06</v>
      </c>
      <c r="AG43" s="5">
        <f t="shared" si="8"/>
        <v>0.95</v>
      </c>
      <c r="AH43" s="5">
        <f t="shared" si="8"/>
        <v>0.54</v>
      </c>
      <c r="AI43" s="5">
        <f t="shared" si="8"/>
        <v>0.31</v>
      </c>
      <c r="AJ43" s="5">
        <f t="shared" si="8"/>
        <v>0.2</v>
      </c>
    </row>
    <row r="44" spans="1:36">
      <c r="A44" t="str">
        <f>"casthouse_procurement_archetype_"&amp;TEXT(ROUND(Table21319[[#This Row],[2016]],1),"0.0")</f>
        <v>casthouse_procurement_archetype_26.1</v>
      </c>
      <c r="B44" s="5">
        <f t="shared" si="2"/>
        <v>26.1</v>
      </c>
      <c r="C44" s="5">
        <f t="shared" si="6"/>
        <v>26.1</v>
      </c>
      <c r="D44" s="5">
        <f t="shared" si="6"/>
        <v>26.1</v>
      </c>
      <c r="E44" s="5">
        <f t="shared" si="6"/>
        <v>25.46</v>
      </c>
      <c r="F44" s="5">
        <f t="shared" si="6"/>
        <v>23.92</v>
      </c>
      <c r="G44" s="5">
        <f t="shared" si="6"/>
        <v>24.14</v>
      </c>
      <c r="H44" s="5">
        <f t="shared" si="6"/>
        <v>23.47</v>
      </c>
      <c r="I44" s="5">
        <f t="shared" si="6"/>
        <v>22.18</v>
      </c>
      <c r="J44" s="5">
        <f t="shared" si="6"/>
        <v>21.45</v>
      </c>
      <c r="K44" s="5">
        <f t="shared" si="6"/>
        <v>20.7</v>
      </c>
      <c r="L44" s="5">
        <f t="shared" si="6"/>
        <v>19.53</v>
      </c>
      <c r="M44" s="5">
        <f t="shared" si="6"/>
        <v>19.38</v>
      </c>
      <c r="N44" s="5">
        <f t="shared" si="6"/>
        <v>18.42</v>
      </c>
      <c r="O44" s="5">
        <f t="shared" si="6"/>
        <v>17.42</v>
      </c>
      <c r="P44" s="5">
        <f t="shared" si="6"/>
        <v>16.23</v>
      </c>
      <c r="Q44" s="5">
        <f t="shared" si="6"/>
        <v>13.93</v>
      </c>
      <c r="R44" s="5">
        <f t="shared" ref="R44:AG59" si="9">MROUND((($B44-$AJ$2)*((R$2-$AJ$2)/($B$2-$AJ$2)))+$AJ$2,0.01)</f>
        <v>10.83</v>
      </c>
      <c r="S44" s="5">
        <f t="shared" si="9"/>
        <v>9.84</v>
      </c>
      <c r="T44" s="5">
        <f t="shared" si="9"/>
        <v>7.69</v>
      </c>
      <c r="U44" s="5">
        <f t="shared" si="9"/>
        <v>5.53</v>
      </c>
      <c r="V44" s="5">
        <f t="shared" si="9"/>
        <v>5.12</v>
      </c>
      <c r="W44" s="5">
        <f t="shared" si="9"/>
        <v>3.91</v>
      </c>
      <c r="X44" s="5">
        <f t="shared" si="9"/>
        <v>3.3</v>
      </c>
      <c r="Y44" s="5">
        <f t="shared" si="9"/>
        <v>2.66</v>
      </c>
      <c r="Z44" s="5">
        <f t="shared" si="9"/>
        <v>2.56</v>
      </c>
      <c r="AA44" s="5">
        <f t="shared" si="9"/>
        <v>2.27</v>
      </c>
      <c r="AB44" s="5">
        <f t="shared" si="9"/>
        <v>1.84</v>
      </c>
      <c r="AC44" s="5">
        <f t="shared" si="9"/>
        <v>1.5</v>
      </c>
      <c r="AD44" s="5">
        <f t="shared" si="9"/>
        <v>1.44</v>
      </c>
      <c r="AE44" s="5">
        <f t="shared" si="9"/>
        <v>1.2</v>
      </c>
      <c r="AF44" s="5">
        <f t="shared" si="9"/>
        <v>1.06</v>
      </c>
      <c r="AG44" s="5">
        <f t="shared" si="9"/>
        <v>0.95</v>
      </c>
      <c r="AH44" s="5">
        <f t="shared" si="8"/>
        <v>0.54</v>
      </c>
      <c r="AI44" s="5">
        <f t="shared" si="8"/>
        <v>0.31</v>
      </c>
      <c r="AJ44" s="5">
        <f t="shared" si="8"/>
        <v>0.2</v>
      </c>
    </row>
    <row r="45" spans="1:36">
      <c r="A45" t="str">
        <f>"casthouse_procurement_archetype_"&amp;TEXT(ROUND(Table21319[[#This Row],[2016]],1),"0.0")</f>
        <v>casthouse_procurement_archetype_26.0</v>
      </c>
      <c r="B45" s="5">
        <f t="shared" si="2"/>
        <v>26</v>
      </c>
      <c r="C45" s="5">
        <f t="shared" ref="C45:R60" si="10">MROUND((($B45-$AJ$2)*((C$2-$AJ$2)/($B$2-$AJ$2)))+$AJ$2,0.01)</f>
        <v>26</v>
      </c>
      <c r="D45" s="5">
        <f t="shared" si="10"/>
        <v>26</v>
      </c>
      <c r="E45" s="5">
        <f t="shared" si="10"/>
        <v>25.37</v>
      </c>
      <c r="F45" s="5">
        <f t="shared" si="10"/>
        <v>23.83</v>
      </c>
      <c r="G45" s="5">
        <f t="shared" si="10"/>
        <v>24.05</v>
      </c>
      <c r="H45" s="5">
        <f t="shared" si="10"/>
        <v>23.38</v>
      </c>
      <c r="I45" s="5">
        <f t="shared" si="10"/>
        <v>22.09</v>
      </c>
      <c r="J45" s="5">
        <f t="shared" si="10"/>
        <v>21.37</v>
      </c>
      <c r="K45" s="5">
        <f t="shared" si="10"/>
        <v>20.63</v>
      </c>
      <c r="L45" s="5">
        <f t="shared" si="10"/>
        <v>19.45</v>
      </c>
      <c r="M45" s="5">
        <f t="shared" si="10"/>
        <v>19.31</v>
      </c>
      <c r="N45" s="5">
        <f t="shared" si="10"/>
        <v>18.35</v>
      </c>
      <c r="O45" s="5">
        <f t="shared" si="10"/>
        <v>17.35</v>
      </c>
      <c r="P45" s="5">
        <f t="shared" si="10"/>
        <v>16.17</v>
      </c>
      <c r="Q45" s="5">
        <f t="shared" si="10"/>
        <v>13.88</v>
      </c>
      <c r="R45" s="5">
        <f t="shared" si="10"/>
        <v>10.79</v>
      </c>
      <c r="S45" s="5">
        <f t="shared" si="9"/>
        <v>9.81</v>
      </c>
      <c r="T45" s="5">
        <f t="shared" si="9"/>
        <v>7.66</v>
      </c>
      <c r="U45" s="5">
        <f t="shared" si="9"/>
        <v>5.51</v>
      </c>
      <c r="V45" s="5">
        <f t="shared" si="9"/>
        <v>5.11</v>
      </c>
      <c r="W45" s="5">
        <f t="shared" si="9"/>
        <v>3.9</v>
      </c>
      <c r="X45" s="5">
        <f t="shared" si="9"/>
        <v>3.29</v>
      </c>
      <c r="Y45" s="5">
        <f t="shared" si="9"/>
        <v>2.65</v>
      </c>
      <c r="Z45" s="5">
        <f t="shared" si="9"/>
        <v>2.55</v>
      </c>
      <c r="AA45" s="5">
        <f t="shared" si="9"/>
        <v>2.26</v>
      </c>
      <c r="AB45" s="5">
        <f t="shared" si="9"/>
        <v>1.84</v>
      </c>
      <c r="AC45" s="5">
        <f t="shared" si="9"/>
        <v>1.49</v>
      </c>
      <c r="AD45" s="5">
        <f t="shared" si="9"/>
        <v>1.43</v>
      </c>
      <c r="AE45" s="5">
        <f t="shared" si="9"/>
        <v>1.2</v>
      </c>
      <c r="AF45" s="5">
        <f t="shared" si="9"/>
        <v>1.06</v>
      </c>
      <c r="AG45" s="5">
        <f t="shared" si="9"/>
        <v>0.95</v>
      </c>
      <c r="AH45" s="5">
        <f t="shared" si="8"/>
        <v>0.54</v>
      </c>
      <c r="AI45" s="5">
        <f t="shared" si="8"/>
        <v>0.31</v>
      </c>
      <c r="AJ45" s="5">
        <f t="shared" si="8"/>
        <v>0.2</v>
      </c>
    </row>
    <row r="46" spans="1:36">
      <c r="A46" t="str">
        <f>"casthouse_procurement_archetype_"&amp;TEXT(ROUND(Table21319[[#This Row],[2016]],1),"0.0")</f>
        <v>casthouse_procurement_archetype_25.9</v>
      </c>
      <c r="B46" s="5">
        <f t="shared" si="2"/>
        <v>25.9</v>
      </c>
      <c r="C46" s="5">
        <f t="shared" si="10"/>
        <v>25.9</v>
      </c>
      <c r="D46" s="5">
        <f t="shared" si="10"/>
        <v>25.9</v>
      </c>
      <c r="E46" s="5">
        <f t="shared" si="10"/>
        <v>25.27</v>
      </c>
      <c r="F46" s="5">
        <f t="shared" si="10"/>
        <v>23.74</v>
      </c>
      <c r="G46" s="5">
        <f t="shared" si="10"/>
        <v>23.95</v>
      </c>
      <c r="H46" s="5">
        <f t="shared" si="10"/>
        <v>23.29</v>
      </c>
      <c r="I46" s="5">
        <f t="shared" si="10"/>
        <v>22.01</v>
      </c>
      <c r="J46" s="5">
        <f t="shared" si="10"/>
        <v>21.29</v>
      </c>
      <c r="K46" s="5">
        <f t="shared" si="10"/>
        <v>20.55</v>
      </c>
      <c r="L46" s="5">
        <f t="shared" si="10"/>
        <v>19.38</v>
      </c>
      <c r="M46" s="5">
        <f t="shared" si="10"/>
        <v>19.24</v>
      </c>
      <c r="N46" s="5">
        <f t="shared" si="10"/>
        <v>18.28</v>
      </c>
      <c r="O46" s="5">
        <f t="shared" si="10"/>
        <v>17.28</v>
      </c>
      <c r="P46" s="5">
        <f t="shared" si="10"/>
        <v>16.11</v>
      </c>
      <c r="Q46" s="5">
        <f t="shared" si="10"/>
        <v>13.83</v>
      </c>
      <c r="R46" s="5">
        <f t="shared" si="10"/>
        <v>10.75</v>
      </c>
      <c r="S46" s="5">
        <f t="shared" si="9"/>
        <v>9.77</v>
      </c>
      <c r="T46" s="5">
        <f t="shared" si="9"/>
        <v>7.64</v>
      </c>
      <c r="U46" s="5">
        <f t="shared" si="9"/>
        <v>5.48</v>
      </c>
      <c r="V46" s="5">
        <f t="shared" si="9"/>
        <v>5.09</v>
      </c>
      <c r="W46" s="5">
        <f t="shared" si="9"/>
        <v>3.88</v>
      </c>
      <c r="X46" s="5">
        <f t="shared" si="9"/>
        <v>3.28</v>
      </c>
      <c r="Y46" s="5">
        <f t="shared" si="9"/>
        <v>2.64</v>
      </c>
      <c r="Z46" s="5">
        <f t="shared" si="9"/>
        <v>2.54</v>
      </c>
      <c r="AA46" s="5">
        <f t="shared" si="9"/>
        <v>2.25</v>
      </c>
      <c r="AB46" s="5">
        <f t="shared" si="9"/>
        <v>1.83</v>
      </c>
      <c r="AC46" s="5">
        <f t="shared" si="9"/>
        <v>1.49</v>
      </c>
      <c r="AD46" s="5">
        <f t="shared" si="9"/>
        <v>1.43</v>
      </c>
      <c r="AE46" s="5">
        <f t="shared" si="9"/>
        <v>1.2</v>
      </c>
      <c r="AF46" s="5">
        <f t="shared" si="9"/>
        <v>1.05</v>
      </c>
      <c r="AG46" s="5">
        <f t="shared" si="9"/>
        <v>0.94</v>
      </c>
      <c r="AH46" s="5">
        <f t="shared" si="8"/>
        <v>0.54</v>
      </c>
      <c r="AI46" s="5">
        <f t="shared" si="8"/>
        <v>0.31</v>
      </c>
      <c r="AJ46" s="5">
        <f t="shared" si="8"/>
        <v>0.2</v>
      </c>
    </row>
    <row r="47" spans="1:36">
      <c r="A47" t="str">
        <f>"casthouse_procurement_archetype_"&amp;TEXT(ROUND(Table21319[[#This Row],[2016]],1),"0.0")</f>
        <v>casthouse_procurement_archetype_25.8</v>
      </c>
      <c r="B47" s="5">
        <f t="shared" si="2"/>
        <v>25.8</v>
      </c>
      <c r="C47" s="5">
        <f t="shared" si="10"/>
        <v>25.8</v>
      </c>
      <c r="D47" s="5">
        <f t="shared" si="10"/>
        <v>25.8</v>
      </c>
      <c r="E47" s="5">
        <f t="shared" si="10"/>
        <v>25.17</v>
      </c>
      <c r="F47" s="5">
        <f t="shared" si="10"/>
        <v>23.65</v>
      </c>
      <c r="G47" s="5">
        <f t="shared" si="10"/>
        <v>23.86</v>
      </c>
      <c r="H47" s="5">
        <f t="shared" si="10"/>
        <v>23.2</v>
      </c>
      <c r="I47" s="5">
        <f t="shared" si="10"/>
        <v>21.92</v>
      </c>
      <c r="J47" s="5">
        <f t="shared" si="10"/>
        <v>21.2</v>
      </c>
      <c r="K47" s="5">
        <f t="shared" si="10"/>
        <v>20.47</v>
      </c>
      <c r="L47" s="5">
        <f t="shared" si="10"/>
        <v>19.3</v>
      </c>
      <c r="M47" s="5">
        <f t="shared" si="10"/>
        <v>19.16</v>
      </c>
      <c r="N47" s="5">
        <f t="shared" si="10"/>
        <v>18.21</v>
      </c>
      <c r="O47" s="5">
        <f t="shared" si="10"/>
        <v>17.22</v>
      </c>
      <c r="P47" s="5">
        <f t="shared" si="10"/>
        <v>16.05</v>
      </c>
      <c r="Q47" s="5">
        <f t="shared" si="10"/>
        <v>13.78</v>
      </c>
      <c r="R47" s="5">
        <f t="shared" si="10"/>
        <v>10.71</v>
      </c>
      <c r="S47" s="5">
        <f t="shared" si="9"/>
        <v>9.73</v>
      </c>
      <c r="T47" s="5">
        <f t="shared" si="9"/>
        <v>7.61</v>
      </c>
      <c r="U47" s="5">
        <f t="shared" si="9"/>
        <v>5.46</v>
      </c>
      <c r="V47" s="5">
        <f t="shared" si="9"/>
        <v>5.07</v>
      </c>
      <c r="W47" s="5">
        <f t="shared" si="9"/>
        <v>3.87</v>
      </c>
      <c r="X47" s="5">
        <f t="shared" si="9"/>
        <v>3.26</v>
      </c>
      <c r="Y47" s="5">
        <f t="shared" si="9"/>
        <v>2.63</v>
      </c>
      <c r="Z47" s="5">
        <f t="shared" si="9"/>
        <v>2.53</v>
      </c>
      <c r="AA47" s="5">
        <f t="shared" si="9"/>
        <v>2.25</v>
      </c>
      <c r="AB47" s="5">
        <f t="shared" si="9"/>
        <v>1.83</v>
      </c>
      <c r="AC47" s="5">
        <f t="shared" si="9"/>
        <v>1.48</v>
      </c>
      <c r="AD47" s="5">
        <f t="shared" si="9"/>
        <v>1.42</v>
      </c>
      <c r="AE47" s="5">
        <f t="shared" si="9"/>
        <v>1.19</v>
      </c>
      <c r="AF47" s="5">
        <f t="shared" si="9"/>
        <v>1.05</v>
      </c>
      <c r="AG47" s="5">
        <f t="shared" si="9"/>
        <v>0.94</v>
      </c>
      <c r="AH47" s="5">
        <f t="shared" si="8"/>
        <v>0.54</v>
      </c>
      <c r="AI47" s="5">
        <f t="shared" si="8"/>
        <v>0.31</v>
      </c>
      <c r="AJ47" s="5">
        <f t="shared" si="8"/>
        <v>0.2</v>
      </c>
    </row>
    <row r="48" spans="1:36">
      <c r="A48" t="str">
        <f>"casthouse_procurement_archetype_"&amp;TEXT(ROUND(Table21319[[#This Row],[2016]],1),"0.0")</f>
        <v>casthouse_procurement_archetype_25.7</v>
      </c>
      <c r="B48" s="5">
        <f t="shared" si="2"/>
        <v>25.7</v>
      </c>
      <c r="C48" s="5">
        <f t="shared" si="10"/>
        <v>25.7</v>
      </c>
      <c r="D48" s="5">
        <f t="shared" si="10"/>
        <v>25.7</v>
      </c>
      <c r="E48" s="5">
        <f t="shared" si="10"/>
        <v>25.07</v>
      </c>
      <c r="F48" s="5">
        <f t="shared" si="10"/>
        <v>23.56</v>
      </c>
      <c r="G48" s="5">
        <f t="shared" si="10"/>
        <v>23.77</v>
      </c>
      <c r="H48" s="5">
        <f t="shared" si="10"/>
        <v>23.11</v>
      </c>
      <c r="I48" s="5">
        <f t="shared" si="10"/>
        <v>21.84</v>
      </c>
      <c r="J48" s="5">
        <f t="shared" si="10"/>
        <v>21.12</v>
      </c>
      <c r="K48" s="5">
        <f t="shared" si="10"/>
        <v>20.39</v>
      </c>
      <c r="L48" s="5">
        <f t="shared" si="10"/>
        <v>19.23</v>
      </c>
      <c r="M48" s="5">
        <f t="shared" si="10"/>
        <v>19.09</v>
      </c>
      <c r="N48" s="5">
        <f t="shared" si="10"/>
        <v>18.14</v>
      </c>
      <c r="O48" s="5">
        <f t="shared" si="10"/>
        <v>17.15</v>
      </c>
      <c r="P48" s="5">
        <f t="shared" si="10"/>
        <v>15.99</v>
      </c>
      <c r="Q48" s="5">
        <f t="shared" si="10"/>
        <v>13.72</v>
      </c>
      <c r="R48" s="5">
        <f t="shared" si="10"/>
        <v>10.67</v>
      </c>
      <c r="S48" s="5">
        <f t="shared" si="9"/>
        <v>9.69</v>
      </c>
      <c r="T48" s="5">
        <f t="shared" si="9"/>
        <v>7.58</v>
      </c>
      <c r="U48" s="5">
        <f t="shared" si="9"/>
        <v>5.44</v>
      </c>
      <c r="V48" s="5">
        <f t="shared" si="9"/>
        <v>5.05</v>
      </c>
      <c r="W48" s="5">
        <f t="shared" si="9"/>
        <v>3.86</v>
      </c>
      <c r="X48" s="5">
        <f t="shared" si="9"/>
        <v>3.25</v>
      </c>
      <c r="Y48" s="5">
        <f t="shared" si="9"/>
        <v>2.62</v>
      </c>
      <c r="Z48" s="5">
        <f t="shared" si="9"/>
        <v>2.52</v>
      </c>
      <c r="AA48" s="5">
        <f t="shared" si="9"/>
        <v>2.24</v>
      </c>
      <c r="AB48" s="5">
        <f t="shared" si="9"/>
        <v>1.82</v>
      </c>
      <c r="AC48" s="5">
        <f t="shared" si="9"/>
        <v>1.48</v>
      </c>
      <c r="AD48" s="5">
        <f t="shared" si="9"/>
        <v>1.42</v>
      </c>
      <c r="AE48" s="5">
        <f t="shared" si="9"/>
        <v>1.19</v>
      </c>
      <c r="AF48" s="5">
        <f t="shared" si="9"/>
        <v>1.05</v>
      </c>
      <c r="AG48" s="5">
        <f t="shared" si="9"/>
        <v>0.94</v>
      </c>
      <c r="AH48" s="5">
        <f t="shared" si="8"/>
        <v>0.54</v>
      </c>
      <c r="AI48" s="5">
        <f t="shared" si="8"/>
        <v>0.31</v>
      </c>
      <c r="AJ48" s="5">
        <f t="shared" si="8"/>
        <v>0.2</v>
      </c>
    </row>
    <row r="49" spans="1:36">
      <c r="A49" t="str">
        <f>"casthouse_procurement_archetype_"&amp;TEXT(ROUND(Table21319[[#This Row],[2016]],1),"0.0")</f>
        <v>casthouse_procurement_archetype_25.6</v>
      </c>
      <c r="B49" s="5">
        <f t="shared" si="2"/>
        <v>25.6</v>
      </c>
      <c r="C49" s="5">
        <f t="shared" si="10"/>
        <v>25.6</v>
      </c>
      <c r="D49" s="5">
        <f t="shared" si="10"/>
        <v>25.6</v>
      </c>
      <c r="E49" s="5">
        <f t="shared" si="10"/>
        <v>24.98</v>
      </c>
      <c r="F49" s="5">
        <f t="shared" si="10"/>
        <v>23.46</v>
      </c>
      <c r="G49" s="5">
        <f t="shared" si="10"/>
        <v>23.68</v>
      </c>
      <c r="H49" s="5">
        <f t="shared" si="10"/>
        <v>23.02</v>
      </c>
      <c r="I49" s="5">
        <f t="shared" si="10"/>
        <v>21.75</v>
      </c>
      <c r="J49" s="5">
        <f t="shared" si="10"/>
        <v>21.04</v>
      </c>
      <c r="K49" s="5">
        <f t="shared" si="10"/>
        <v>20.31</v>
      </c>
      <c r="L49" s="5">
        <f t="shared" si="10"/>
        <v>19.15</v>
      </c>
      <c r="M49" s="5">
        <f t="shared" si="10"/>
        <v>19.01</v>
      </c>
      <c r="N49" s="5">
        <f t="shared" si="10"/>
        <v>18.07</v>
      </c>
      <c r="O49" s="5">
        <f t="shared" si="10"/>
        <v>17.09</v>
      </c>
      <c r="P49" s="5">
        <f t="shared" si="10"/>
        <v>15.92</v>
      </c>
      <c r="Q49" s="5">
        <f t="shared" si="10"/>
        <v>13.67</v>
      </c>
      <c r="R49" s="5">
        <f t="shared" si="10"/>
        <v>10.63</v>
      </c>
      <c r="S49" s="5">
        <f t="shared" si="9"/>
        <v>9.66</v>
      </c>
      <c r="T49" s="5">
        <f t="shared" si="9"/>
        <v>7.55</v>
      </c>
      <c r="U49" s="5">
        <f t="shared" si="9"/>
        <v>5.42</v>
      </c>
      <c r="V49" s="5">
        <f t="shared" si="9"/>
        <v>5.03</v>
      </c>
      <c r="W49" s="5">
        <f t="shared" si="9"/>
        <v>3.84</v>
      </c>
      <c r="X49" s="5">
        <f t="shared" si="9"/>
        <v>3.24</v>
      </c>
      <c r="Y49" s="5">
        <f t="shared" si="9"/>
        <v>2.61</v>
      </c>
      <c r="Z49" s="5">
        <f t="shared" si="9"/>
        <v>2.51</v>
      </c>
      <c r="AA49" s="5">
        <f t="shared" si="9"/>
        <v>2.23</v>
      </c>
      <c r="AB49" s="5">
        <f t="shared" si="9"/>
        <v>1.81</v>
      </c>
      <c r="AC49" s="5">
        <f t="shared" si="9"/>
        <v>1.47</v>
      </c>
      <c r="AD49" s="5">
        <f t="shared" si="9"/>
        <v>1.41</v>
      </c>
      <c r="AE49" s="5">
        <f t="shared" si="9"/>
        <v>1.18</v>
      </c>
      <c r="AF49" s="5">
        <f t="shared" si="9"/>
        <v>1.04</v>
      </c>
      <c r="AG49" s="5">
        <f t="shared" si="9"/>
        <v>0.94</v>
      </c>
      <c r="AH49" s="5">
        <f t="shared" si="8"/>
        <v>0.53</v>
      </c>
      <c r="AI49" s="5">
        <f t="shared" si="8"/>
        <v>0.31</v>
      </c>
      <c r="AJ49" s="5">
        <f t="shared" si="8"/>
        <v>0.2</v>
      </c>
    </row>
    <row r="50" spans="1:36">
      <c r="A50" t="str">
        <f>"casthouse_procurement_archetype_"&amp;TEXT(ROUND(Table21319[[#This Row],[2016]],1),"0.0")</f>
        <v>casthouse_procurement_archetype_25.5</v>
      </c>
      <c r="B50" s="5">
        <f t="shared" si="2"/>
        <v>25.5</v>
      </c>
      <c r="C50" s="5">
        <f t="shared" si="10"/>
        <v>25.5</v>
      </c>
      <c r="D50" s="5">
        <f t="shared" si="10"/>
        <v>25.5</v>
      </c>
      <c r="E50" s="5">
        <f t="shared" si="10"/>
        <v>24.88</v>
      </c>
      <c r="F50" s="5">
        <f t="shared" si="10"/>
        <v>23.37</v>
      </c>
      <c r="G50" s="5">
        <f t="shared" si="10"/>
        <v>23.58</v>
      </c>
      <c r="H50" s="5">
        <f t="shared" si="10"/>
        <v>22.93</v>
      </c>
      <c r="I50" s="5">
        <f t="shared" si="10"/>
        <v>21.67</v>
      </c>
      <c r="J50" s="5">
        <f t="shared" si="10"/>
        <v>20.96</v>
      </c>
      <c r="K50" s="5">
        <f t="shared" si="10"/>
        <v>20.23</v>
      </c>
      <c r="L50" s="5">
        <f t="shared" si="10"/>
        <v>19.08</v>
      </c>
      <c r="M50" s="5">
        <f t="shared" si="10"/>
        <v>18.94</v>
      </c>
      <c r="N50" s="5">
        <f t="shared" si="10"/>
        <v>18</v>
      </c>
      <c r="O50" s="5">
        <f t="shared" si="10"/>
        <v>17.02</v>
      </c>
      <c r="P50" s="5">
        <f t="shared" si="10"/>
        <v>15.86</v>
      </c>
      <c r="Q50" s="5">
        <f t="shared" si="10"/>
        <v>13.62</v>
      </c>
      <c r="R50" s="5">
        <f t="shared" si="10"/>
        <v>10.59</v>
      </c>
      <c r="S50" s="5">
        <f t="shared" si="9"/>
        <v>9.62</v>
      </c>
      <c r="T50" s="5">
        <f t="shared" si="9"/>
        <v>7.52</v>
      </c>
      <c r="U50" s="5">
        <f t="shared" si="9"/>
        <v>5.4</v>
      </c>
      <c r="V50" s="5">
        <f t="shared" si="9"/>
        <v>5.01</v>
      </c>
      <c r="W50" s="5">
        <f t="shared" si="9"/>
        <v>3.83</v>
      </c>
      <c r="X50" s="5">
        <f t="shared" si="9"/>
        <v>3.23</v>
      </c>
      <c r="Y50" s="5">
        <f t="shared" si="9"/>
        <v>2.6</v>
      </c>
      <c r="Z50" s="5">
        <f t="shared" si="9"/>
        <v>2.51</v>
      </c>
      <c r="AA50" s="5">
        <f t="shared" si="9"/>
        <v>2.22</v>
      </c>
      <c r="AB50" s="5">
        <f t="shared" si="9"/>
        <v>1.81</v>
      </c>
      <c r="AC50" s="5">
        <f t="shared" si="9"/>
        <v>1.47</v>
      </c>
      <c r="AD50" s="5">
        <f t="shared" si="9"/>
        <v>1.41</v>
      </c>
      <c r="AE50" s="5">
        <f t="shared" si="9"/>
        <v>1.18</v>
      </c>
      <c r="AF50" s="5">
        <f t="shared" si="9"/>
        <v>1.04</v>
      </c>
      <c r="AG50" s="5">
        <f t="shared" si="9"/>
        <v>0.93</v>
      </c>
      <c r="AH50" s="5">
        <f t="shared" si="8"/>
        <v>0.53</v>
      </c>
      <c r="AI50" s="5">
        <f t="shared" si="8"/>
        <v>0.31</v>
      </c>
      <c r="AJ50" s="5">
        <f t="shared" si="8"/>
        <v>0.2</v>
      </c>
    </row>
    <row r="51" spans="1:36">
      <c r="A51" t="str">
        <f>"casthouse_procurement_archetype_"&amp;TEXT(ROUND(Table21319[[#This Row],[2016]],1),"0.0")</f>
        <v>casthouse_procurement_archetype_25.4</v>
      </c>
      <c r="B51" s="5">
        <f t="shared" si="2"/>
        <v>25.4</v>
      </c>
      <c r="C51" s="5">
        <f t="shared" si="10"/>
        <v>25.4</v>
      </c>
      <c r="D51" s="5">
        <f t="shared" si="10"/>
        <v>25.4</v>
      </c>
      <c r="E51" s="5">
        <f t="shared" si="10"/>
        <v>24.78</v>
      </c>
      <c r="F51" s="5">
        <f t="shared" si="10"/>
        <v>23.28</v>
      </c>
      <c r="G51" s="5">
        <f t="shared" si="10"/>
        <v>23.49</v>
      </c>
      <c r="H51" s="5">
        <f t="shared" si="10"/>
        <v>22.84</v>
      </c>
      <c r="I51" s="5">
        <f t="shared" si="10"/>
        <v>21.58</v>
      </c>
      <c r="J51" s="5">
        <f t="shared" si="10"/>
        <v>20.88</v>
      </c>
      <c r="K51" s="5">
        <f t="shared" si="10"/>
        <v>20.15</v>
      </c>
      <c r="L51" s="5">
        <f t="shared" si="10"/>
        <v>19</v>
      </c>
      <c r="M51" s="5">
        <f t="shared" si="10"/>
        <v>18.86</v>
      </c>
      <c r="N51" s="5">
        <f t="shared" si="10"/>
        <v>17.93</v>
      </c>
      <c r="O51" s="5">
        <f t="shared" si="10"/>
        <v>16.95</v>
      </c>
      <c r="P51" s="5">
        <f t="shared" si="10"/>
        <v>15.8</v>
      </c>
      <c r="Q51" s="5">
        <f t="shared" si="10"/>
        <v>13.56</v>
      </c>
      <c r="R51" s="5">
        <f t="shared" si="10"/>
        <v>10.55</v>
      </c>
      <c r="S51" s="5">
        <f t="shared" si="9"/>
        <v>9.58</v>
      </c>
      <c r="T51" s="5">
        <f t="shared" si="9"/>
        <v>7.49</v>
      </c>
      <c r="U51" s="5">
        <f t="shared" si="9"/>
        <v>5.38</v>
      </c>
      <c r="V51" s="5">
        <f t="shared" si="9"/>
        <v>4.99</v>
      </c>
      <c r="W51" s="5">
        <f t="shared" si="9"/>
        <v>3.81</v>
      </c>
      <c r="X51" s="5">
        <f t="shared" si="9"/>
        <v>3.22</v>
      </c>
      <c r="Y51" s="5">
        <f t="shared" si="9"/>
        <v>2.59</v>
      </c>
      <c r="Z51" s="5">
        <f t="shared" si="9"/>
        <v>2.5</v>
      </c>
      <c r="AA51" s="5">
        <f t="shared" si="9"/>
        <v>2.21</v>
      </c>
      <c r="AB51" s="5">
        <f t="shared" si="9"/>
        <v>1.8</v>
      </c>
      <c r="AC51" s="5">
        <f t="shared" si="9"/>
        <v>1.46</v>
      </c>
      <c r="AD51" s="5">
        <f t="shared" si="9"/>
        <v>1.41</v>
      </c>
      <c r="AE51" s="5">
        <f t="shared" si="9"/>
        <v>1.18</v>
      </c>
      <c r="AF51" s="5">
        <f t="shared" si="9"/>
        <v>1.04</v>
      </c>
      <c r="AG51" s="5">
        <f t="shared" si="9"/>
        <v>0.93</v>
      </c>
      <c r="AH51" s="5">
        <f t="shared" si="8"/>
        <v>0.53</v>
      </c>
      <c r="AI51" s="5">
        <f t="shared" si="8"/>
        <v>0.31</v>
      </c>
      <c r="AJ51" s="5">
        <f t="shared" si="8"/>
        <v>0.2</v>
      </c>
    </row>
    <row r="52" spans="1:36">
      <c r="A52" t="str">
        <f>"casthouse_procurement_archetype_"&amp;TEXT(ROUND(Table21319[[#This Row],[2016]],1),"0.0")</f>
        <v>casthouse_procurement_archetype_25.3</v>
      </c>
      <c r="B52" s="5">
        <f t="shared" si="2"/>
        <v>25.3</v>
      </c>
      <c r="C52" s="5">
        <f t="shared" si="10"/>
        <v>25.3</v>
      </c>
      <c r="D52" s="5">
        <f t="shared" si="10"/>
        <v>25.3</v>
      </c>
      <c r="E52" s="5">
        <f t="shared" si="10"/>
        <v>24.68</v>
      </c>
      <c r="F52" s="5">
        <f t="shared" si="10"/>
        <v>23.19</v>
      </c>
      <c r="G52" s="5">
        <f t="shared" si="10"/>
        <v>23.4</v>
      </c>
      <c r="H52" s="5">
        <f t="shared" si="10"/>
        <v>22.75</v>
      </c>
      <c r="I52" s="5">
        <f t="shared" si="10"/>
        <v>21.5</v>
      </c>
      <c r="J52" s="5">
        <f t="shared" si="10"/>
        <v>20.79</v>
      </c>
      <c r="K52" s="5">
        <f t="shared" si="10"/>
        <v>20.07</v>
      </c>
      <c r="L52" s="5">
        <f t="shared" si="10"/>
        <v>18.93</v>
      </c>
      <c r="M52" s="5">
        <f t="shared" si="10"/>
        <v>18.79</v>
      </c>
      <c r="N52" s="5">
        <f t="shared" si="10"/>
        <v>17.86</v>
      </c>
      <c r="O52" s="5">
        <f t="shared" si="10"/>
        <v>16.89</v>
      </c>
      <c r="P52" s="5">
        <f t="shared" si="10"/>
        <v>15.74</v>
      </c>
      <c r="Q52" s="5">
        <f t="shared" si="10"/>
        <v>13.51</v>
      </c>
      <c r="R52" s="5">
        <f t="shared" si="10"/>
        <v>10.5</v>
      </c>
      <c r="S52" s="5">
        <f t="shared" si="9"/>
        <v>9.55</v>
      </c>
      <c r="T52" s="5">
        <f t="shared" si="9"/>
        <v>7.46</v>
      </c>
      <c r="U52" s="5">
        <f t="shared" si="9"/>
        <v>5.36</v>
      </c>
      <c r="V52" s="5">
        <f t="shared" si="9"/>
        <v>4.97</v>
      </c>
      <c r="W52" s="5">
        <f t="shared" si="9"/>
        <v>3.8</v>
      </c>
      <c r="X52" s="5">
        <f t="shared" si="9"/>
        <v>3.2</v>
      </c>
      <c r="Y52" s="5">
        <f t="shared" si="9"/>
        <v>2.58</v>
      </c>
      <c r="Z52" s="5">
        <f t="shared" si="9"/>
        <v>2.49</v>
      </c>
      <c r="AA52" s="5">
        <f t="shared" si="9"/>
        <v>2.21</v>
      </c>
      <c r="AB52" s="5">
        <f t="shared" si="9"/>
        <v>1.79</v>
      </c>
      <c r="AC52" s="5">
        <f t="shared" si="9"/>
        <v>1.46</v>
      </c>
      <c r="AD52" s="5">
        <f t="shared" si="9"/>
        <v>1.4</v>
      </c>
      <c r="AE52" s="5">
        <f t="shared" si="9"/>
        <v>1.17</v>
      </c>
      <c r="AF52" s="5">
        <f t="shared" si="9"/>
        <v>1.03</v>
      </c>
      <c r="AG52" s="5">
        <f t="shared" si="9"/>
        <v>0.93</v>
      </c>
      <c r="AH52" s="5">
        <f t="shared" si="8"/>
        <v>0.53</v>
      </c>
      <c r="AI52" s="5">
        <f t="shared" si="8"/>
        <v>0.31</v>
      </c>
      <c r="AJ52" s="5">
        <f t="shared" si="8"/>
        <v>0.2</v>
      </c>
    </row>
    <row r="53" spans="1:36">
      <c r="A53" t="str">
        <f>"casthouse_procurement_archetype_"&amp;TEXT(ROUND(Table21319[[#This Row],[2016]],1),"0.0")</f>
        <v>casthouse_procurement_archetype_25.2</v>
      </c>
      <c r="B53" s="5">
        <f t="shared" si="2"/>
        <v>25.2</v>
      </c>
      <c r="C53" s="5">
        <f t="shared" si="10"/>
        <v>25.2</v>
      </c>
      <c r="D53" s="5">
        <f t="shared" si="10"/>
        <v>25.2</v>
      </c>
      <c r="E53" s="5">
        <f t="shared" si="10"/>
        <v>24.59</v>
      </c>
      <c r="F53" s="5">
        <f t="shared" si="10"/>
        <v>23.1</v>
      </c>
      <c r="G53" s="5">
        <f t="shared" si="10"/>
        <v>23.31</v>
      </c>
      <c r="H53" s="5">
        <f t="shared" si="10"/>
        <v>22.66</v>
      </c>
      <c r="I53" s="5">
        <f t="shared" si="10"/>
        <v>21.41</v>
      </c>
      <c r="J53" s="5">
        <f t="shared" si="10"/>
        <v>20.71</v>
      </c>
      <c r="K53" s="5">
        <f t="shared" si="10"/>
        <v>19.99</v>
      </c>
      <c r="L53" s="5">
        <f t="shared" si="10"/>
        <v>18.85</v>
      </c>
      <c r="M53" s="5">
        <f t="shared" si="10"/>
        <v>18.72</v>
      </c>
      <c r="N53" s="5">
        <f t="shared" si="10"/>
        <v>17.79</v>
      </c>
      <c r="O53" s="5">
        <f t="shared" si="10"/>
        <v>16.82</v>
      </c>
      <c r="P53" s="5">
        <f t="shared" si="10"/>
        <v>15.68</v>
      </c>
      <c r="Q53" s="5">
        <f t="shared" si="10"/>
        <v>13.46</v>
      </c>
      <c r="R53" s="5">
        <f t="shared" si="10"/>
        <v>10.46</v>
      </c>
      <c r="S53" s="5">
        <f t="shared" si="9"/>
        <v>9.51</v>
      </c>
      <c r="T53" s="5">
        <f t="shared" si="9"/>
        <v>7.43</v>
      </c>
      <c r="U53" s="5">
        <f t="shared" si="9"/>
        <v>5.34</v>
      </c>
      <c r="V53" s="5">
        <f t="shared" si="9"/>
        <v>4.95</v>
      </c>
      <c r="W53" s="5">
        <f t="shared" si="9"/>
        <v>3.78</v>
      </c>
      <c r="X53" s="5">
        <f t="shared" si="9"/>
        <v>3.19</v>
      </c>
      <c r="Y53" s="5">
        <f t="shared" si="9"/>
        <v>2.57</v>
      </c>
      <c r="Z53" s="5">
        <f t="shared" si="9"/>
        <v>2.48</v>
      </c>
      <c r="AA53" s="5">
        <f t="shared" si="9"/>
        <v>2.2</v>
      </c>
      <c r="AB53" s="5">
        <f t="shared" si="9"/>
        <v>1.79</v>
      </c>
      <c r="AC53" s="5">
        <f t="shared" si="9"/>
        <v>1.45</v>
      </c>
      <c r="AD53" s="5">
        <f t="shared" si="9"/>
        <v>1.4</v>
      </c>
      <c r="AE53" s="5">
        <f t="shared" si="9"/>
        <v>1.17</v>
      </c>
      <c r="AF53" s="5">
        <f t="shared" si="9"/>
        <v>1.03</v>
      </c>
      <c r="AG53" s="5">
        <f t="shared" si="9"/>
        <v>0.92</v>
      </c>
      <c r="AH53" s="5">
        <f t="shared" si="8"/>
        <v>0.53</v>
      </c>
      <c r="AI53" s="5">
        <f t="shared" si="8"/>
        <v>0.31</v>
      </c>
      <c r="AJ53" s="5">
        <f t="shared" si="8"/>
        <v>0.2</v>
      </c>
    </row>
    <row r="54" spans="1:36">
      <c r="A54" t="str">
        <f>"casthouse_procurement_archetype_"&amp;TEXT(ROUND(Table21319[[#This Row],[2016]],1),"0.0")</f>
        <v>casthouse_procurement_archetype_25.1</v>
      </c>
      <c r="B54" s="5">
        <f t="shared" si="2"/>
        <v>25.1</v>
      </c>
      <c r="C54" s="5">
        <f t="shared" si="10"/>
        <v>25.1</v>
      </c>
      <c r="D54" s="5">
        <f t="shared" si="10"/>
        <v>25.1</v>
      </c>
      <c r="E54" s="5">
        <f t="shared" si="10"/>
        <v>24.49</v>
      </c>
      <c r="F54" s="5">
        <f t="shared" si="10"/>
        <v>23.01</v>
      </c>
      <c r="G54" s="5">
        <f t="shared" si="10"/>
        <v>23.21</v>
      </c>
      <c r="H54" s="5">
        <f t="shared" si="10"/>
        <v>22.57</v>
      </c>
      <c r="I54" s="5">
        <f t="shared" si="10"/>
        <v>21.33</v>
      </c>
      <c r="J54" s="5">
        <f t="shared" si="10"/>
        <v>20.63</v>
      </c>
      <c r="K54" s="5">
        <f t="shared" si="10"/>
        <v>19.91</v>
      </c>
      <c r="L54" s="5">
        <f t="shared" si="10"/>
        <v>18.78</v>
      </c>
      <c r="M54" s="5">
        <f t="shared" si="10"/>
        <v>18.64</v>
      </c>
      <c r="N54" s="5">
        <f t="shared" si="10"/>
        <v>17.71</v>
      </c>
      <c r="O54" s="5">
        <f t="shared" si="10"/>
        <v>16.75</v>
      </c>
      <c r="P54" s="5">
        <f t="shared" si="10"/>
        <v>15.62</v>
      </c>
      <c r="Q54" s="5">
        <f t="shared" si="10"/>
        <v>13.4</v>
      </c>
      <c r="R54" s="5">
        <f t="shared" si="10"/>
        <v>10.42</v>
      </c>
      <c r="S54" s="5">
        <f t="shared" si="9"/>
        <v>9.47</v>
      </c>
      <c r="T54" s="5">
        <f t="shared" si="9"/>
        <v>7.4</v>
      </c>
      <c r="U54" s="5">
        <f t="shared" si="9"/>
        <v>5.32</v>
      </c>
      <c r="V54" s="5">
        <f t="shared" si="9"/>
        <v>4.93</v>
      </c>
      <c r="W54" s="5">
        <f t="shared" si="9"/>
        <v>3.77</v>
      </c>
      <c r="X54" s="5">
        <f t="shared" si="9"/>
        <v>3.18</v>
      </c>
      <c r="Y54" s="5">
        <f t="shared" si="9"/>
        <v>2.56</v>
      </c>
      <c r="Z54" s="5">
        <f t="shared" si="9"/>
        <v>2.47</v>
      </c>
      <c r="AA54" s="5">
        <f t="shared" si="9"/>
        <v>2.19</v>
      </c>
      <c r="AB54" s="5">
        <f t="shared" si="9"/>
        <v>1.78</v>
      </c>
      <c r="AC54" s="5">
        <f t="shared" si="9"/>
        <v>1.45</v>
      </c>
      <c r="AD54" s="5">
        <f t="shared" si="9"/>
        <v>1.39</v>
      </c>
      <c r="AE54" s="5">
        <f t="shared" si="9"/>
        <v>1.17</v>
      </c>
      <c r="AF54" s="5">
        <f t="shared" si="9"/>
        <v>1.03</v>
      </c>
      <c r="AG54" s="5">
        <f t="shared" si="9"/>
        <v>0.92</v>
      </c>
      <c r="AH54" s="5">
        <f t="shared" si="8"/>
        <v>0.53</v>
      </c>
      <c r="AI54" s="5">
        <f t="shared" si="8"/>
        <v>0.31</v>
      </c>
      <c r="AJ54" s="5">
        <f t="shared" si="8"/>
        <v>0.2</v>
      </c>
    </row>
    <row r="55" spans="1:36">
      <c r="A55" t="str">
        <f>"casthouse_procurement_archetype_"&amp;TEXT(ROUND(Table21319[[#This Row],[2016]],1),"0.0")</f>
        <v>casthouse_procurement_archetype_25.0</v>
      </c>
      <c r="B55" s="5">
        <f t="shared" si="2"/>
        <v>25</v>
      </c>
      <c r="C55" s="5">
        <f t="shared" si="10"/>
        <v>25</v>
      </c>
      <c r="D55" s="5">
        <f t="shared" si="10"/>
        <v>25</v>
      </c>
      <c r="E55" s="5">
        <f t="shared" si="10"/>
        <v>24.39</v>
      </c>
      <c r="F55" s="5">
        <f t="shared" si="10"/>
        <v>22.92</v>
      </c>
      <c r="G55" s="5">
        <f t="shared" si="10"/>
        <v>23.12</v>
      </c>
      <c r="H55" s="5">
        <f t="shared" si="10"/>
        <v>22.48</v>
      </c>
      <c r="I55" s="5">
        <f t="shared" si="10"/>
        <v>21.24</v>
      </c>
      <c r="J55" s="5">
        <f t="shared" si="10"/>
        <v>20.55</v>
      </c>
      <c r="K55" s="5">
        <f t="shared" si="10"/>
        <v>19.83</v>
      </c>
      <c r="L55" s="5">
        <f t="shared" si="10"/>
        <v>18.71</v>
      </c>
      <c r="M55" s="5">
        <f t="shared" si="10"/>
        <v>18.57</v>
      </c>
      <c r="N55" s="5">
        <f t="shared" si="10"/>
        <v>17.64</v>
      </c>
      <c r="O55" s="5">
        <f t="shared" si="10"/>
        <v>16.69</v>
      </c>
      <c r="P55" s="5">
        <f t="shared" si="10"/>
        <v>15.55</v>
      </c>
      <c r="Q55" s="5">
        <f t="shared" si="10"/>
        <v>13.35</v>
      </c>
      <c r="R55" s="5">
        <f t="shared" si="10"/>
        <v>10.38</v>
      </c>
      <c r="S55" s="5">
        <f t="shared" si="9"/>
        <v>9.43</v>
      </c>
      <c r="T55" s="5">
        <f t="shared" si="9"/>
        <v>7.37</v>
      </c>
      <c r="U55" s="5">
        <f t="shared" si="9"/>
        <v>5.3</v>
      </c>
      <c r="V55" s="5">
        <f t="shared" si="9"/>
        <v>4.92</v>
      </c>
      <c r="W55" s="5">
        <f t="shared" si="9"/>
        <v>3.76</v>
      </c>
      <c r="X55" s="5">
        <f t="shared" si="9"/>
        <v>3.17</v>
      </c>
      <c r="Y55" s="5">
        <f t="shared" si="9"/>
        <v>2.56</v>
      </c>
      <c r="Z55" s="5">
        <f t="shared" si="9"/>
        <v>2.46</v>
      </c>
      <c r="AA55" s="5">
        <f t="shared" si="9"/>
        <v>2.18</v>
      </c>
      <c r="AB55" s="5">
        <f t="shared" si="9"/>
        <v>1.77</v>
      </c>
      <c r="AC55" s="5">
        <f t="shared" si="9"/>
        <v>1.44</v>
      </c>
      <c r="AD55" s="5">
        <f t="shared" si="9"/>
        <v>1.39</v>
      </c>
      <c r="AE55" s="5">
        <f t="shared" si="9"/>
        <v>1.16</v>
      </c>
      <c r="AF55" s="5">
        <f t="shared" si="9"/>
        <v>1.02</v>
      </c>
      <c r="AG55" s="5">
        <f t="shared" si="9"/>
        <v>0.92</v>
      </c>
      <c r="AH55" s="5">
        <f t="shared" si="8"/>
        <v>0.53</v>
      </c>
      <c r="AI55" s="5">
        <f t="shared" si="8"/>
        <v>0.31</v>
      </c>
      <c r="AJ55" s="5">
        <f t="shared" si="8"/>
        <v>0.2</v>
      </c>
    </row>
    <row r="56" spans="1:36">
      <c r="A56" t="str">
        <f>"casthouse_procurement_archetype_"&amp;TEXT(ROUND(Table21319[[#This Row],[2016]],1),"0.0")</f>
        <v>casthouse_procurement_archetype_24.9</v>
      </c>
      <c r="B56" s="5">
        <f t="shared" si="2"/>
        <v>24.9</v>
      </c>
      <c r="C56" s="5">
        <f t="shared" si="10"/>
        <v>24.9</v>
      </c>
      <c r="D56" s="5">
        <f t="shared" si="10"/>
        <v>24.9</v>
      </c>
      <c r="E56" s="5">
        <f t="shared" si="10"/>
        <v>24.29</v>
      </c>
      <c r="F56" s="5">
        <f t="shared" si="10"/>
        <v>22.82</v>
      </c>
      <c r="G56" s="5">
        <f t="shared" si="10"/>
        <v>23.03</v>
      </c>
      <c r="H56" s="5">
        <f t="shared" si="10"/>
        <v>22.39</v>
      </c>
      <c r="I56" s="5">
        <f t="shared" si="10"/>
        <v>21.16</v>
      </c>
      <c r="J56" s="5">
        <f t="shared" si="10"/>
        <v>20.47</v>
      </c>
      <c r="K56" s="5">
        <f t="shared" si="10"/>
        <v>19.75</v>
      </c>
      <c r="L56" s="5">
        <f t="shared" si="10"/>
        <v>18.63</v>
      </c>
      <c r="M56" s="5">
        <f t="shared" si="10"/>
        <v>18.49</v>
      </c>
      <c r="N56" s="5">
        <f t="shared" si="10"/>
        <v>17.57</v>
      </c>
      <c r="O56" s="5">
        <f t="shared" si="10"/>
        <v>16.62</v>
      </c>
      <c r="P56" s="5">
        <f t="shared" si="10"/>
        <v>15.49</v>
      </c>
      <c r="Q56" s="5">
        <f t="shared" si="10"/>
        <v>13.3</v>
      </c>
      <c r="R56" s="5">
        <f t="shared" si="10"/>
        <v>10.34</v>
      </c>
      <c r="S56" s="5">
        <f t="shared" si="9"/>
        <v>9.4</v>
      </c>
      <c r="T56" s="5">
        <f t="shared" si="9"/>
        <v>7.35</v>
      </c>
      <c r="U56" s="5">
        <f t="shared" si="9"/>
        <v>5.28</v>
      </c>
      <c r="V56" s="5">
        <f t="shared" si="9"/>
        <v>4.9</v>
      </c>
      <c r="W56" s="5">
        <f t="shared" si="9"/>
        <v>3.74</v>
      </c>
      <c r="X56" s="5">
        <f t="shared" si="9"/>
        <v>3.16</v>
      </c>
      <c r="Y56" s="5">
        <f t="shared" si="9"/>
        <v>2.55</v>
      </c>
      <c r="Z56" s="5">
        <f t="shared" si="9"/>
        <v>2.45</v>
      </c>
      <c r="AA56" s="5">
        <f t="shared" si="9"/>
        <v>2.17</v>
      </c>
      <c r="AB56" s="5">
        <f t="shared" si="9"/>
        <v>1.77</v>
      </c>
      <c r="AC56" s="5">
        <f t="shared" si="9"/>
        <v>1.44</v>
      </c>
      <c r="AD56" s="5">
        <f t="shared" si="9"/>
        <v>1.38</v>
      </c>
      <c r="AE56" s="5">
        <f t="shared" si="9"/>
        <v>1.16</v>
      </c>
      <c r="AF56" s="5">
        <f t="shared" si="9"/>
        <v>1.02</v>
      </c>
      <c r="AG56" s="5">
        <f t="shared" si="9"/>
        <v>0.91</v>
      </c>
      <c r="AH56" s="5">
        <f t="shared" si="8"/>
        <v>0.53</v>
      </c>
      <c r="AI56" s="5">
        <f t="shared" si="8"/>
        <v>0.31</v>
      </c>
      <c r="AJ56" s="5">
        <f t="shared" si="8"/>
        <v>0.2</v>
      </c>
    </row>
    <row r="57" spans="1:36">
      <c r="A57" t="str">
        <f>"casthouse_procurement_archetype_"&amp;TEXT(ROUND(Table21319[[#This Row],[2016]],1),"0.0")</f>
        <v>casthouse_procurement_archetype_24.8</v>
      </c>
      <c r="B57" s="5">
        <f t="shared" si="2"/>
        <v>24.8</v>
      </c>
      <c r="C57" s="5">
        <f t="shared" si="10"/>
        <v>24.8</v>
      </c>
      <c r="D57" s="5">
        <f t="shared" si="10"/>
        <v>24.8</v>
      </c>
      <c r="E57" s="5">
        <f t="shared" si="10"/>
        <v>24.19</v>
      </c>
      <c r="F57" s="5">
        <f t="shared" si="10"/>
        <v>22.73</v>
      </c>
      <c r="G57" s="5">
        <f t="shared" si="10"/>
        <v>22.94</v>
      </c>
      <c r="H57" s="5">
        <f t="shared" si="10"/>
        <v>22.3</v>
      </c>
      <c r="I57" s="5">
        <f t="shared" si="10"/>
        <v>21.07</v>
      </c>
      <c r="J57" s="5">
        <f t="shared" si="10"/>
        <v>20.38</v>
      </c>
      <c r="K57" s="5">
        <f t="shared" si="10"/>
        <v>19.68</v>
      </c>
      <c r="L57" s="5">
        <f t="shared" si="10"/>
        <v>18.56</v>
      </c>
      <c r="M57" s="5">
        <f t="shared" si="10"/>
        <v>18.42</v>
      </c>
      <c r="N57" s="5">
        <f t="shared" si="10"/>
        <v>17.5</v>
      </c>
      <c r="O57" s="5">
        <f t="shared" si="10"/>
        <v>16.55</v>
      </c>
      <c r="P57" s="5">
        <f t="shared" si="10"/>
        <v>15.43</v>
      </c>
      <c r="Q57" s="5">
        <f t="shared" si="10"/>
        <v>13.25</v>
      </c>
      <c r="R57" s="5">
        <f t="shared" si="10"/>
        <v>10.3</v>
      </c>
      <c r="S57" s="5">
        <f t="shared" si="9"/>
        <v>9.36</v>
      </c>
      <c r="T57" s="5">
        <f t="shared" si="9"/>
        <v>7.32</v>
      </c>
      <c r="U57" s="5">
        <f t="shared" si="9"/>
        <v>5.26</v>
      </c>
      <c r="V57" s="5">
        <f t="shared" si="9"/>
        <v>4.88</v>
      </c>
      <c r="W57" s="5">
        <f t="shared" si="9"/>
        <v>3.73</v>
      </c>
      <c r="X57" s="5">
        <f t="shared" si="9"/>
        <v>3.14</v>
      </c>
      <c r="Y57" s="5">
        <f t="shared" si="9"/>
        <v>2.54</v>
      </c>
      <c r="Z57" s="5">
        <f t="shared" si="9"/>
        <v>2.44</v>
      </c>
      <c r="AA57" s="5">
        <f t="shared" si="9"/>
        <v>2.17</v>
      </c>
      <c r="AB57" s="5">
        <f t="shared" si="9"/>
        <v>1.76</v>
      </c>
      <c r="AC57" s="5">
        <f t="shared" si="9"/>
        <v>1.43</v>
      </c>
      <c r="AD57" s="5">
        <f t="shared" si="9"/>
        <v>1.38</v>
      </c>
      <c r="AE57" s="5">
        <f t="shared" si="9"/>
        <v>1.15</v>
      </c>
      <c r="AF57" s="5">
        <f t="shared" si="9"/>
        <v>1.02</v>
      </c>
      <c r="AG57" s="5">
        <f t="shared" si="9"/>
        <v>0.91</v>
      </c>
      <c r="AH57" s="5">
        <f t="shared" si="8"/>
        <v>0.52</v>
      </c>
      <c r="AI57" s="5">
        <f t="shared" si="8"/>
        <v>0.3</v>
      </c>
      <c r="AJ57" s="5">
        <f t="shared" si="8"/>
        <v>0.2</v>
      </c>
    </row>
    <row r="58" spans="1:36">
      <c r="A58" t="str">
        <f>"casthouse_procurement_archetype_"&amp;TEXT(ROUND(Table21319[[#This Row],[2016]],1),"0.0")</f>
        <v>casthouse_procurement_archetype_24.7</v>
      </c>
      <c r="B58" s="5">
        <f t="shared" si="2"/>
        <v>24.7</v>
      </c>
      <c r="C58" s="5">
        <f t="shared" si="10"/>
        <v>24.7</v>
      </c>
      <c r="D58" s="5">
        <f t="shared" si="10"/>
        <v>24.7</v>
      </c>
      <c r="E58" s="5">
        <f t="shared" si="10"/>
        <v>24.1</v>
      </c>
      <c r="F58" s="5">
        <f t="shared" si="10"/>
        <v>22.64</v>
      </c>
      <c r="G58" s="5">
        <f t="shared" si="10"/>
        <v>22.84</v>
      </c>
      <c r="H58" s="5">
        <f t="shared" si="10"/>
        <v>22.21</v>
      </c>
      <c r="I58" s="5">
        <f t="shared" si="10"/>
        <v>20.99</v>
      </c>
      <c r="J58" s="5">
        <f t="shared" si="10"/>
        <v>20.3</v>
      </c>
      <c r="K58" s="5">
        <f t="shared" si="10"/>
        <v>19.6</v>
      </c>
      <c r="L58" s="5">
        <f t="shared" si="10"/>
        <v>18.48</v>
      </c>
      <c r="M58" s="5">
        <f t="shared" si="10"/>
        <v>18.35</v>
      </c>
      <c r="N58" s="5">
        <f t="shared" si="10"/>
        <v>17.43</v>
      </c>
      <c r="O58" s="5">
        <f t="shared" si="10"/>
        <v>16.49</v>
      </c>
      <c r="P58" s="5">
        <f t="shared" si="10"/>
        <v>15.37</v>
      </c>
      <c r="Q58" s="5">
        <f t="shared" si="10"/>
        <v>13.19</v>
      </c>
      <c r="R58" s="5">
        <f t="shared" si="10"/>
        <v>10.26</v>
      </c>
      <c r="S58" s="5">
        <f t="shared" si="9"/>
        <v>9.32</v>
      </c>
      <c r="T58" s="5">
        <f t="shared" si="9"/>
        <v>7.29</v>
      </c>
      <c r="U58" s="5">
        <f t="shared" si="9"/>
        <v>5.24</v>
      </c>
      <c r="V58" s="5">
        <f t="shared" si="9"/>
        <v>4.86</v>
      </c>
      <c r="W58" s="5">
        <f t="shared" si="9"/>
        <v>3.71</v>
      </c>
      <c r="X58" s="5">
        <f t="shared" si="9"/>
        <v>3.13</v>
      </c>
      <c r="Y58" s="5">
        <f t="shared" si="9"/>
        <v>2.53</v>
      </c>
      <c r="Z58" s="5">
        <f t="shared" si="9"/>
        <v>2.43</v>
      </c>
      <c r="AA58" s="5">
        <f t="shared" si="9"/>
        <v>2.16</v>
      </c>
      <c r="AB58" s="5">
        <f t="shared" si="9"/>
        <v>1.76</v>
      </c>
      <c r="AC58" s="5">
        <f t="shared" si="9"/>
        <v>1.43</v>
      </c>
      <c r="AD58" s="5">
        <f t="shared" si="9"/>
        <v>1.37</v>
      </c>
      <c r="AE58" s="5">
        <f t="shared" si="9"/>
        <v>1.15</v>
      </c>
      <c r="AF58" s="5">
        <f t="shared" si="9"/>
        <v>1.01</v>
      </c>
      <c r="AG58" s="5">
        <f t="shared" si="9"/>
        <v>0.91</v>
      </c>
      <c r="AH58" s="5">
        <f t="shared" si="8"/>
        <v>0.52</v>
      </c>
      <c r="AI58" s="5">
        <f t="shared" si="8"/>
        <v>0.3</v>
      </c>
      <c r="AJ58" s="5">
        <f t="shared" si="8"/>
        <v>0.2</v>
      </c>
    </row>
    <row r="59" spans="1:36">
      <c r="A59" t="str">
        <f>"casthouse_procurement_archetype_"&amp;TEXT(ROUND(Table21319[[#This Row],[2016]],1),"0.0")</f>
        <v>casthouse_procurement_archetype_24.6</v>
      </c>
      <c r="B59" s="5">
        <f t="shared" si="2"/>
        <v>24.6</v>
      </c>
      <c r="C59" s="5">
        <f t="shared" si="10"/>
        <v>24.6</v>
      </c>
      <c r="D59" s="5">
        <f t="shared" si="10"/>
        <v>24.6</v>
      </c>
      <c r="E59" s="5">
        <f t="shared" si="10"/>
        <v>24</v>
      </c>
      <c r="F59" s="5">
        <f t="shared" si="10"/>
        <v>22.55</v>
      </c>
      <c r="G59" s="5">
        <f t="shared" si="10"/>
        <v>22.75</v>
      </c>
      <c r="H59" s="5">
        <f t="shared" si="10"/>
        <v>22.12</v>
      </c>
      <c r="I59" s="5">
        <f t="shared" si="10"/>
        <v>20.9</v>
      </c>
      <c r="J59" s="5">
        <f t="shared" si="10"/>
        <v>20.22</v>
      </c>
      <c r="K59" s="5">
        <f t="shared" si="10"/>
        <v>19.52</v>
      </c>
      <c r="L59" s="5">
        <f t="shared" si="10"/>
        <v>18.41</v>
      </c>
      <c r="M59" s="5">
        <f t="shared" si="10"/>
        <v>18.27</v>
      </c>
      <c r="N59" s="5">
        <f t="shared" si="10"/>
        <v>17.36</v>
      </c>
      <c r="O59" s="5">
        <f t="shared" si="10"/>
        <v>16.42</v>
      </c>
      <c r="P59" s="5">
        <f t="shared" si="10"/>
        <v>15.31</v>
      </c>
      <c r="Q59" s="5">
        <f t="shared" si="10"/>
        <v>13.14</v>
      </c>
      <c r="R59" s="5">
        <f t="shared" si="10"/>
        <v>10.22</v>
      </c>
      <c r="S59" s="5">
        <f t="shared" si="9"/>
        <v>9.28</v>
      </c>
      <c r="T59" s="5">
        <f t="shared" si="9"/>
        <v>7.26</v>
      </c>
      <c r="U59" s="5">
        <f t="shared" si="9"/>
        <v>5.22</v>
      </c>
      <c r="V59" s="5">
        <f t="shared" si="9"/>
        <v>4.84</v>
      </c>
      <c r="W59" s="5">
        <f t="shared" si="9"/>
        <v>3.7</v>
      </c>
      <c r="X59" s="5">
        <f t="shared" si="9"/>
        <v>3.12</v>
      </c>
      <c r="Y59" s="5">
        <f t="shared" si="9"/>
        <v>2.52</v>
      </c>
      <c r="Z59" s="5">
        <f t="shared" si="9"/>
        <v>2.42</v>
      </c>
      <c r="AA59" s="5">
        <f t="shared" si="9"/>
        <v>2.15</v>
      </c>
      <c r="AB59" s="5">
        <f t="shared" si="9"/>
        <v>1.75</v>
      </c>
      <c r="AC59" s="5">
        <f t="shared" si="9"/>
        <v>1.42</v>
      </c>
      <c r="AD59" s="5">
        <f t="shared" si="9"/>
        <v>1.37</v>
      </c>
      <c r="AE59" s="5">
        <f t="shared" si="9"/>
        <v>1.15</v>
      </c>
      <c r="AF59" s="5">
        <f t="shared" si="9"/>
        <v>1.01</v>
      </c>
      <c r="AG59" s="5">
        <f t="shared" si="9"/>
        <v>0.91</v>
      </c>
      <c r="AH59" s="5">
        <f t="shared" si="8"/>
        <v>0.52</v>
      </c>
      <c r="AI59" s="5">
        <f t="shared" si="8"/>
        <v>0.3</v>
      </c>
      <c r="AJ59" s="5">
        <f t="shared" si="8"/>
        <v>0.2</v>
      </c>
    </row>
    <row r="60" spans="1:36">
      <c r="A60" t="str">
        <f>"casthouse_procurement_archetype_"&amp;TEXT(ROUND(Table21319[[#This Row],[2016]],1),"0.0")</f>
        <v>casthouse_procurement_archetype_24.5</v>
      </c>
      <c r="B60" s="5">
        <f t="shared" si="2"/>
        <v>24.5</v>
      </c>
      <c r="C60" s="5">
        <f t="shared" si="10"/>
        <v>24.5</v>
      </c>
      <c r="D60" s="5">
        <f t="shared" si="10"/>
        <v>24.5</v>
      </c>
      <c r="E60" s="5">
        <f t="shared" si="10"/>
        <v>23.9</v>
      </c>
      <c r="F60" s="5">
        <f t="shared" si="10"/>
        <v>22.46</v>
      </c>
      <c r="G60" s="5">
        <f t="shared" si="10"/>
        <v>22.66</v>
      </c>
      <c r="H60" s="5">
        <f t="shared" si="10"/>
        <v>22.03</v>
      </c>
      <c r="I60" s="5">
        <f t="shared" si="10"/>
        <v>20.82</v>
      </c>
      <c r="J60" s="5">
        <f t="shared" si="10"/>
        <v>20.14</v>
      </c>
      <c r="K60" s="5">
        <f t="shared" si="10"/>
        <v>19.44</v>
      </c>
      <c r="L60" s="5">
        <f t="shared" si="10"/>
        <v>18.33</v>
      </c>
      <c r="M60" s="5">
        <f t="shared" si="10"/>
        <v>18.2</v>
      </c>
      <c r="N60" s="5">
        <f t="shared" si="10"/>
        <v>17.29</v>
      </c>
      <c r="O60" s="5">
        <f t="shared" si="10"/>
        <v>16.35</v>
      </c>
      <c r="P60" s="5">
        <f t="shared" si="10"/>
        <v>15.24</v>
      </c>
      <c r="Q60" s="5">
        <f t="shared" si="10"/>
        <v>13.09</v>
      </c>
      <c r="R60" s="5">
        <f t="shared" ref="R60:AG75" si="11">MROUND((($B60-$AJ$2)*((R$2-$AJ$2)/($B$2-$AJ$2)))+$AJ$2,0.01)</f>
        <v>10.18</v>
      </c>
      <c r="S60" s="5">
        <f t="shared" si="11"/>
        <v>9.25</v>
      </c>
      <c r="T60" s="5">
        <f t="shared" si="11"/>
        <v>7.23</v>
      </c>
      <c r="U60" s="5">
        <f t="shared" si="11"/>
        <v>5.2</v>
      </c>
      <c r="V60" s="5">
        <f t="shared" si="11"/>
        <v>4.82</v>
      </c>
      <c r="W60" s="5">
        <f t="shared" si="11"/>
        <v>3.68</v>
      </c>
      <c r="X60" s="5">
        <f t="shared" si="11"/>
        <v>3.11</v>
      </c>
      <c r="Y60" s="5">
        <f t="shared" si="11"/>
        <v>2.51</v>
      </c>
      <c r="Z60" s="5">
        <f t="shared" si="11"/>
        <v>2.41</v>
      </c>
      <c r="AA60" s="5">
        <f t="shared" si="11"/>
        <v>2.14</v>
      </c>
      <c r="AB60" s="5">
        <f t="shared" si="11"/>
        <v>1.74</v>
      </c>
      <c r="AC60" s="5">
        <f t="shared" si="11"/>
        <v>1.42</v>
      </c>
      <c r="AD60" s="5">
        <f t="shared" si="11"/>
        <v>1.36</v>
      </c>
      <c r="AE60" s="5">
        <f t="shared" si="11"/>
        <v>1.14</v>
      </c>
      <c r="AF60" s="5">
        <f t="shared" si="11"/>
        <v>1.01</v>
      </c>
      <c r="AG60" s="5">
        <f t="shared" si="11"/>
        <v>0.9</v>
      </c>
      <c r="AH60" s="5">
        <f t="shared" si="8"/>
        <v>0.52</v>
      </c>
      <c r="AI60" s="5">
        <f t="shared" si="8"/>
        <v>0.3</v>
      </c>
      <c r="AJ60" s="5">
        <f t="shared" si="8"/>
        <v>0.2</v>
      </c>
    </row>
    <row r="61" spans="1:36">
      <c r="A61" t="str">
        <f>"casthouse_procurement_archetype_"&amp;TEXT(ROUND(Table21319[[#This Row],[2016]],1),"0.0")</f>
        <v>casthouse_procurement_archetype_24.4</v>
      </c>
      <c r="B61" s="5">
        <f t="shared" si="2"/>
        <v>24.4</v>
      </c>
      <c r="C61" s="5">
        <f t="shared" ref="C61:R76" si="12">MROUND((($B61-$AJ$2)*((C$2-$AJ$2)/($B$2-$AJ$2)))+$AJ$2,0.01)</f>
        <v>24.4</v>
      </c>
      <c r="D61" s="5">
        <f t="shared" si="12"/>
        <v>24.4</v>
      </c>
      <c r="E61" s="5">
        <f t="shared" si="12"/>
        <v>23.8</v>
      </c>
      <c r="F61" s="5">
        <f t="shared" si="12"/>
        <v>22.37</v>
      </c>
      <c r="G61" s="5">
        <f t="shared" si="12"/>
        <v>22.57</v>
      </c>
      <c r="H61" s="5">
        <f t="shared" si="12"/>
        <v>21.94</v>
      </c>
      <c r="I61" s="5">
        <f t="shared" si="12"/>
        <v>20.73</v>
      </c>
      <c r="J61" s="5">
        <f t="shared" si="12"/>
        <v>20.06</v>
      </c>
      <c r="K61" s="5">
        <f t="shared" si="12"/>
        <v>19.36</v>
      </c>
      <c r="L61" s="5">
        <f t="shared" si="12"/>
        <v>18.26</v>
      </c>
      <c r="M61" s="5">
        <f t="shared" si="12"/>
        <v>18.12</v>
      </c>
      <c r="N61" s="5">
        <f t="shared" si="12"/>
        <v>17.22</v>
      </c>
      <c r="O61" s="5">
        <f t="shared" si="12"/>
        <v>16.29</v>
      </c>
      <c r="P61" s="5">
        <f t="shared" si="12"/>
        <v>15.18</v>
      </c>
      <c r="Q61" s="5">
        <f t="shared" si="12"/>
        <v>13.03</v>
      </c>
      <c r="R61" s="5">
        <f t="shared" si="12"/>
        <v>10.13</v>
      </c>
      <c r="S61" s="5">
        <f t="shared" si="11"/>
        <v>9.21</v>
      </c>
      <c r="T61" s="5">
        <f t="shared" si="11"/>
        <v>7.2</v>
      </c>
      <c r="U61" s="5">
        <f t="shared" si="11"/>
        <v>5.18</v>
      </c>
      <c r="V61" s="5">
        <f t="shared" si="11"/>
        <v>4.8</v>
      </c>
      <c r="W61" s="5">
        <f t="shared" si="11"/>
        <v>3.67</v>
      </c>
      <c r="X61" s="5">
        <f t="shared" si="11"/>
        <v>3.1</v>
      </c>
      <c r="Y61" s="5">
        <f t="shared" si="11"/>
        <v>2.5</v>
      </c>
      <c r="Z61" s="5">
        <f t="shared" si="11"/>
        <v>2.41</v>
      </c>
      <c r="AA61" s="5">
        <f t="shared" si="11"/>
        <v>2.13</v>
      </c>
      <c r="AB61" s="5">
        <f t="shared" si="11"/>
        <v>1.74</v>
      </c>
      <c r="AC61" s="5">
        <f t="shared" si="11"/>
        <v>1.41</v>
      </c>
      <c r="AD61" s="5">
        <f t="shared" si="11"/>
        <v>1.36</v>
      </c>
      <c r="AE61" s="5">
        <f t="shared" si="11"/>
        <v>1.14</v>
      </c>
      <c r="AF61" s="5">
        <f t="shared" si="11"/>
        <v>1</v>
      </c>
      <c r="AG61" s="5">
        <f t="shared" si="11"/>
        <v>0.9</v>
      </c>
      <c r="AH61" s="5">
        <f t="shared" si="8"/>
        <v>0.52</v>
      </c>
      <c r="AI61" s="5">
        <f t="shared" si="8"/>
        <v>0.3</v>
      </c>
      <c r="AJ61" s="5">
        <f t="shared" si="8"/>
        <v>0.2</v>
      </c>
    </row>
    <row r="62" spans="1:36">
      <c r="A62" t="str">
        <f>"casthouse_procurement_archetype_"&amp;TEXT(ROUND(Table21319[[#This Row],[2016]],1),"0.0")</f>
        <v>casthouse_procurement_archetype_24.3</v>
      </c>
      <c r="B62" s="5">
        <f t="shared" si="2"/>
        <v>24.3</v>
      </c>
      <c r="C62" s="5">
        <f t="shared" si="12"/>
        <v>24.3</v>
      </c>
      <c r="D62" s="5">
        <f t="shared" si="12"/>
        <v>24.3</v>
      </c>
      <c r="E62" s="5">
        <f t="shared" si="12"/>
        <v>23.71</v>
      </c>
      <c r="F62" s="5">
        <f t="shared" si="12"/>
        <v>22.27</v>
      </c>
      <c r="G62" s="5">
        <f t="shared" si="12"/>
        <v>22.47</v>
      </c>
      <c r="H62" s="5">
        <f t="shared" si="12"/>
        <v>21.85</v>
      </c>
      <c r="I62" s="5">
        <f t="shared" si="12"/>
        <v>20.65</v>
      </c>
      <c r="J62" s="5">
        <f t="shared" si="12"/>
        <v>19.97</v>
      </c>
      <c r="K62" s="5">
        <f t="shared" si="12"/>
        <v>19.28</v>
      </c>
      <c r="L62" s="5">
        <f t="shared" si="12"/>
        <v>18.18</v>
      </c>
      <c r="M62" s="5">
        <f t="shared" si="12"/>
        <v>18.05</v>
      </c>
      <c r="N62" s="5">
        <f t="shared" si="12"/>
        <v>17.15</v>
      </c>
      <c r="O62" s="5">
        <f t="shared" si="12"/>
        <v>16.22</v>
      </c>
      <c r="P62" s="5">
        <f t="shared" si="12"/>
        <v>15.12</v>
      </c>
      <c r="Q62" s="5">
        <f t="shared" si="12"/>
        <v>12.98</v>
      </c>
      <c r="R62" s="5">
        <f t="shared" si="12"/>
        <v>10.09</v>
      </c>
      <c r="S62" s="5">
        <f t="shared" si="11"/>
        <v>9.17</v>
      </c>
      <c r="T62" s="5">
        <f t="shared" si="11"/>
        <v>7.17</v>
      </c>
      <c r="U62" s="5">
        <f t="shared" si="11"/>
        <v>5.16</v>
      </c>
      <c r="V62" s="5">
        <f t="shared" si="11"/>
        <v>4.78</v>
      </c>
      <c r="W62" s="5">
        <f t="shared" si="11"/>
        <v>3.66</v>
      </c>
      <c r="X62" s="5">
        <f t="shared" si="11"/>
        <v>3.08</v>
      </c>
      <c r="Y62" s="5">
        <f t="shared" si="11"/>
        <v>2.49</v>
      </c>
      <c r="Z62" s="5">
        <f t="shared" si="11"/>
        <v>2.4</v>
      </c>
      <c r="AA62" s="5">
        <f t="shared" si="11"/>
        <v>2.13</v>
      </c>
      <c r="AB62" s="5">
        <f t="shared" si="11"/>
        <v>1.73</v>
      </c>
      <c r="AC62" s="5">
        <f t="shared" si="11"/>
        <v>1.41</v>
      </c>
      <c r="AD62" s="5">
        <f t="shared" si="11"/>
        <v>1.35</v>
      </c>
      <c r="AE62" s="5">
        <f t="shared" si="11"/>
        <v>1.13</v>
      </c>
      <c r="AF62" s="5">
        <f t="shared" si="11"/>
        <v>1</v>
      </c>
      <c r="AG62" s="5">
        <f t="shared" si="11"/>
        <v>0.9</v>
      </c>
      <c r="AH62" s="5">
        <f t="shared" si="8"/>
        <v>0.52</v>
      </c>
      <c r="AI62" s="5">
        <f t="shared" si="8"/>
        <v>0.3</v>
      </c>
      <c r="AJ62" s="5">
        <f t="shared" si="8"/>
        <v>0.2</v>
      </c>
    </row>
    <row r="63" spans="1:36">
      <c r="A63" t="str">
        <f>"casthouse_procurement_archetype_"&amp;TEXT(ROUND(Table21319[[#This Row],[2016]],1),"0.0")</f>
        <v>casthouse_procurement_archetype_24.2</v>
      </c>
      <c r="B63" s="5">
        <f t="shared" si="2"/>
        <v>24.2</v>
      </c>
      <c r="C63" s="5">
        <f t="shared" si="12"/>
        <v>24.2</v>
      </c>
      <c r="D63" s="5">
        <f t="shared" si="12"/>
        <v>24.2</v>
      </c>
      <c r="E63" s="5">
        <f t="shared" si="12"/>
        <v>23.61</v>
      </c>
      <c r="F63" s="5">
        <f t="shared" si="12"/>
        <v>22.18</v>
      </c>
      <c r="G63" s="5">
        <f t="shared" si="12"/>
        <v>22.38</v>
      </c>
      <c r="H63" s="5">
        <f t="shared" si="12"/>
        <v>21.76</v>
      </c>
      <c r="I63" s="5">
        <f t="shared" si="12"/>
        <v>20.56</v>
      </c>
      <c r="J63" s="5">
        <f t="shared" si="12"/>
        <v>19.89</v>
      </c>
      <c r="K63" s="5">
        <f t="shared" si="12"/>
        <v>19.2</v>
      </c>
      <c r="L63" s="5">
        <f t="shared" si="12"/>
        <v>18.11</v>
      </c>
      <c r="M63" s="5">
        <f t="shared" si="12"/>
        <v>17.98</v>
      </c>
      <c r="N63" s="5">
        <f t="shared" si="12"/>
        <v>17.08</v>
      </c>
      <c r="O63" s="5">
        <f t="shared" si="12"/>
        <v>16.15</v>
      </c>
      <c r="P63" s="5">
        <f t="shared" si="12"/>
        <v>15.06</v>
      </c>
      <c r="Q63" s="5">
        <f t="shared" si="12"/>
        <v>12.93</v>
      </c>
      <c r="R63" s="5">
        <f t="shared" si="12"/>
        <v>10.05</v>
      </c>
      <c r="S63" s="5">
        <f t="shared" si="11"/>
        <v>9.14</v>
      </c>
      <c r="T63" s="5">
        <f t="shared" si="11"/>
        <v>7.14</v>
      </c>
      <c r="U63" s="5">
        <f t="shared" si="11"/>
        <v>5.14</v>
      </c>
      <c r="V63" s="5">
        <f t="shared" si="11"/>
        <v>4.76</v>
      </c>
      <c r="W63" s="5">
        <f t="shared" si="11"/>
        <v>3.64</v>
      </c>
      <c r="X63" s="5">
        <f t="shared" si="11"/>
        <v>3.07</v>
      </c>
      <c r="Y63" s="5">
        <f t="shared" si="11"/>
        <v>2.48</v>
      </c>
      <c r="Z63" s="5">
        <f t="shared" si="11"/>
        <v>2.39</v>
      </c>
      <c r="AA63" s="5">
        <f t="shared" si="11"/>
        <v>2.12</v>
      </c>
      <c r="AB63" s="5">
        <f t="shared" si="11"/>
        <v>1.72</v>
      </c>
      <c r="AC63" s="5">
        <f t="shared" si="11"/>
        <v>1.4</v>
      </c>
      <c r="AD63" s="5">
        <f t="shared" si="11"/>
        <v>1.35</v>
      </c>
      <c r="AE63" s="5">
        <f t="shared" si="11"/>
        <v>1.13</v>
      </c>
      <c r="AF63" s="5">
        <f t="shared" si="11"/>
        <v>1</v>
      </c>
      <c r="AG63" s="5">
        <f t="shared" si="11"/>
        <v>0.89</v>
      </c>
      <c r="AH63" s="5">
        <f t="shared" si="8"/>
        <v>0.52</v>
      </c>
      <c r="AI63" s="5">
        <f t="shared" si="8"/>
        <v>0.3</v>
      </c>
      <c r="AJ63" s="5">
        <f t="shared" si="8"/>
        <v>0.2</v>
      </c>
    </row>
    <row r="64" spans="1:36">
      <c r="A64" t="str">
        <f>"casthouse_procurement_archetype_"&amp;TEXT(ROUND(Table21319[[#This Row],[2016]],1),"0.0")</f>
        <v>casthouse_procurement_archetype_24.1</v>
      </c>
      <c r="B64" s="5">
        <f t="shared" si="2"/>
        <v>24.1</v>
      </c>
      <c r="C64" s="5">
        <f t="shared" si="12"/>
        <v>24.1</v>
      </c>
      <c r="D64" s="5">
        <f t="shared" si="12"/>
        <v>24.1</v>
      </c>
      <c r="E64" s="5">
        <f t="shared" si="12"/>
        <v>23.51</v>
      </c>
      <c r="F64" s="5">
        <f t="shared" si="12"/>
        <v>22.09</v>
      </c>
      <c r="G64" s="5">
        <f t="shared" si="12"/>
        <v>22.29</v>
      </c>
      <c r="H64" s="5">
        <f t="shared" si="12"/>
        <v>21.67</v>
      </c>
      <c r="I64" s="5">
        <f t="shared" si="12"/>
        <v>20.48</v>
      </c>
      <c r="J64" s="5">
        <f t="shared" si="12"/>
        <v>19.81</v>
      </c>
      <c r="K64" s="5">
        <f t="shared" si="12"/>
        <v>19.12</v>
      </c>
      <c r="L64" s="5">
        <f t="shared" si="12"/>
        <v>18.03</v>
      </c>
      <c r="M64" s="5">
        <f t="shared" si="12"/>
        <v>17.9</v>
      </c>
      <c r="N64" s="5">
        <f t="shared" si="12"/>
        <v>17.01</v>
      </c>
      <c r="O64" s="5">
        <f t="shared" si="12"/>
        <v>16.09</v>
      </c>
      <c r="P64" s="5">
        <f t="shared" si="12"/>
        <v>15</v>
      </c>
      <c r="Q64" s="5">
        <f t="shared" si="12"/>
        <v>12.87</v>
      </c>
      <c r="R64" s="5">
        <f t="shared" si="12"/>
        <v>10.01</v>
      </c>
      <c r="S64" s="5">
        <f t="shared" si="11"/>
        <v>9.1</v>
      </c>
      <c r="T64" s="5">
        <f t="shared" si="11"/>
        <v>7.11</v>
      </c>
      <c r="U64" s="5">
        <f t="shared" si="11"/>
        <v>5.11</v>
      </c>
      <c r="V64" s="5">
        <f t="shared" si="11"/>
        <v>4.74</v>
      </c>
      <c r="W64" s="5">
        <f t="shared" si="11"/>
        <v>3.63</v>
      </c>
      <c r="X64" s="5">
        <f t="shared" si="11"/>
        <v>3.06</v>
      </c>
      <c r="Y64" s="5">
        <f t="shared" si="11"/>
        <v>2.47</v>
      </c>
      <c r="Z64" s="5">
        <f t="shared" si="11"/>
        <v>2.38</v>
      </c>
      <c r="AA64" s="5">
        <f t="shared" si="11"/>
        <v>2.11</v>
      </c>
      <c r="AB64" s="5">
        <f t="shared" si="11"/>
        <v>1.72</v>
      </c>
      <c r="AC64" s="5">
        <f t="shared" si="11"/>
        <v>1.4</v>
      </c>
      <c r="AD64" s="5">
        <f t="shared" si="11"/>
        <v>1.34</v>
      </c>
      <c r="AE64" s="5">
        <f t="shared" si="11"/>
        <v>1.13</v>
      </c>
      <c r="AF64" s="5">
        <f t="shared" si="11"/>
        <v>0.99</v>
      </c>
      <c r="AG64" s="5">
        <f t="shared" si="11"/>
        <v>0.89</v>
      </c>
      <c r="AH64" s="5">
        <f t="shared" si="8"/>
        <v>0.51</v>
      </c>
      <c r="AI64" s="5">
        <f t="shared" si="8"/>
        <v>0.3</v>
      </c>
      <c r="AJ64" s="5">
        <f t="shared" si="8"/>
        <v>0.2</v>
      </c>
    </row>
    <row r="65" spans="1:36">
      <c r="A65" t="str">
        <f>"casthouse_procurement_archetype_"&amp;TEXT(ROUND(Table21319[[#This Row],[2016]],1),"0.0")</f>
        <v>casthouse_procurement_archetype_24.0</v>
      </c>
      <c r="B65" s="5">
        <f t="shared" si="2"/>
        <v>24</v>
      </c>
      <c r="C65" s="5">
        <f t="shared" si="12"/>
        <v>24</v>
      </c>
      <c r="D65" s="5">
        <f t="shared" si="12"/>
        <v>24</v>
      </c>
      <c r="E65" s="5">
        <f t="shared" si="12"/>
        <v>23.41</v>
      </c>
      <c r="F65" s="5">
        <f t="shared" si="12"/>
        <v>22</v>
      </c>
      <c r="G65" s="5">
        <f t="shared" si="12"/>
        <v>22.2</v>
      </c>
      <c r="H65" s="5">
        <f t="shared" si="12"/>
        <v>21.58</v>
      </c>
      <c r="I65" s="5">
        <f t="shared" si="12"/>
        <v>20.39</v>
      </c>
      <c r="J65" s="5">
        <f t="shared" si="12"/>
        <v>19.73</v>
      </c>
      <c r="K65" s="5">
        <f t="shared" si="12"/>
        <v>19.04</v>
      </c>
      <c r="L65" s="5">
        <f t="shared" si="12"/>
        <v>17.96</v>
      </c>
      <c r="M65" s="5">
        <f t="shared" si="12"/>
        <v>17.83</v>
      </c>
      <c r="N65" s="5">
        <f t="shared" si="12"/>
        <v>16.94</v>
      </c>
      <c r="O65" s="5">
        <f t="shared" si="12"/>
        <v>16.02</v>
      </c>
      <c r="P65" s="5">
        <f t="shared" si="12"/>
        <v>14.93</v>
      </c>
      <c r="Q65" s="5">
        <f t="shared" si="12"/>
        <v>12.82</v>
      </c>
      <c r="R65" s="5">
        <f t="shared" si="12"/>
        <v>9.97</v>
      </c>
      <c r="S65" s="5">
        <f t="shared" si="11"/>
        <v>9.06</v>
      </c>
      <c r="T65" s="5">
        <f t="shared" si="11"/>
        <v>7.09</v>
      </c>
      <c r="U65" s="5">
        <f t="shared" si="11"/>
        <v>5.09</v>
      </c>
      <c r="V65" s="5">
        <f t="shared" si="11"/>
        <v>4.73</v>
      </c>
      <c r="W65" s="5">
        <f t="shared" si="11"/>
        <v>3.61</v>
      </c>
      <c r="X65" s="5">
        <f t="shared" si="11"/>
        <v>3.05</v>
      </c>
      <c r="Y65" s="5">
        <f t="shared" si="11"/>
        <v>2.46</v>
      </c>
      <c r="Z65" s="5">
        <f t="shared" si="11"/>
        <v>2.37</v>
      </c>
      <c r="AA65" s="5">
        <f t="shared" si="11"/>
        <v>2.1</v>
      </c>
      <c r="AB65" s="5">
        <f t="shared" si="11"/>
        <v>1.71</v>
      </c>
      <c r="AC65" s="5">
        <f t="shared" si="11"/>
        <v>1.39</v>
      </c>
      <c r="AD65" s="5">
        <f t="shared" si="11"/>
        <v>1.34</v>
      </c>
      <c r="AE65" s="5">
        <f t="shared" si="11"/>
        <v>1.12</v>
      </c>
      <c r="AF65" s="5">
        <f t="shared" si="11"/>
        <v>0.99</v>
      </c>
      <c r="AG65" s="5">
        <f t="shared" si="11"/>
        <v>0.89</v>
      </c>
      <c r="AH65" s="5">
        <f t="shared" si="8"/>
        <v>0.51</v>
      </c>
      <c r="AI65" s="5">
        <f t="shared" si="8"/>
        <v>0.3</v>
      </c>
      <c r="AJ65" s="5">
        <f t="shared" si="8"/>
        <v>0.2</v>
      </c>
    </row>
    <row r="66" spans="1:36">
      <c r="A66" t="str">
        <f>"casthouse_procurement_archetype_"&amp;TEXT(ROUND(Table21319[[#This Row],[2016]],1),"0.0")</f>
        <v>casthouse_procurement_archetype_23.9</v>
      </c>
      <c r="B66" s="5">
        <f t="shared" si="2"/>
        <v>23.9</v>
      </c>
      <c r="C66" s="5">
        <f t="shared" si="12"/>
        <v>23.9</v>
      </c>
      <c r="D66" s="5">
        <f t="shared" si="12"/>
        <v>23.9</v>
      </c>
      <c r="E66" s="5">
        <f t="shared" si="12"/>
        <v>23.32</v>
      </c>
      <c r="F66" s="5">
        <f t="shared" si="12"/>
        <v>21.91</v>
      </c>
      <c r="G66" s="5">
        <f t="shared" si="12"/>
        <v>22.1</v>
      </c>
      <c r="H66" s="5">
        <f t="shared" si="12"/>
        <v>21.49</v>
      </c>
      <c r="I66" s="5">
        <f t="shared" si="12"/>
        <v>20.31</v>
      </c>
      <c r="J66" s="5">
        <f t="shared" si="12"/>
        <v>19.65</v>
      </c>
      <c r="K66" s="5">
        <f t="shared" si="12"/>
        <v>18.96</v>
      </c>
      <c r="L66" s="5">
        <f t="shared" si="12"/>
        <v>17.88</v>
      </c>
      <c r="M66" s="5">
        <f t="shared" si="12"/>
        <v>17.75</v>
      </c>
      <c r="N66" s="5">
        <f t="shared" si="12"/>
        <v>16.87</v>
      </c>
      <c r="O66" s="5">
        <f t="shared" si="12"/>
        <v>15.95</v>
      </c>
      <c r="P66" s="5">
        <f t="shared" si="12"/>
        <v>14.87</v>
      </c>
      <c r="Q66" s="5">
        <f t="shared" si="12"/>
        <v>12.77</v>
      </c>
      <c r="R66" s="5">
        <f t="shared" si="12"/>
        <v>9.93</v>
      </c>
      <c r="S66" s="5">
        <f t="shared" si="11"/>
        <v>9.02</v>
      </c>
      <c r="T66" s="5">
        <f t="shared" si="11"/>
        <v>7.06</v>
      </c>
      <c r="U66" s="5">
        <f t="shared" si="11"/>
        <v>5.07</v>
      </c>
      <c r="V66" s="5">
        <f t="shared" si="11"/>
        <v>4.71</v>
      </c>
      <c r="W66" s="5">
        <f t="shared" si="11"/>
        <v>3.6</v>
      </c>
      <c r="X66" s="5">
        <f t="shared" si="11"/>
        <v>3.04</v>
      </c>
      <c r="Y66" s="5">
        <f t="shared" si="11"/>
        <v>2.45</v>
      </c>
      <c r="Z66" s="5">
        <f t="shared" si="11"/>
        <v>2.36</v>
      </c>
      <c r="AA66" s="5">
        <f t="shared" si="11"/>
        <v>2.09</v>
      </c>
      <c r="AB66" s="5">
        <f t="shared" si="11"/>
        <v>1.7</v>
      </c>
      <c r="AC66" s="5">
        <f t="shared" si="11"/>
        <v>1.39</v>
      </c>
      <c r="AD66" s="5">
        <f t="shared" si="11"/>
        <v>1.33</v>
      </c>
      <c r="AE66" s="5">
        <f t="shared" si="11"/>
        <v>1.12</v>
      </c>
      <c r="AF66" s="5">
        <f t="shared" si="11"/>
        <v>0.99</v>
      </c>
      <c r="AG66" s="5">
        <f t="shared" si="11"/>
        <v>0.89</v>
      </c>
      <c r="AH66" s="5">
        <f t="shared" si="8"/>
        <v>0.51</v>
      </c>
      <c r="AI66" s="5">
        <f t="shared" si="8"/>
        <v>0.3</v>
      </c>
      <c r="AJ66" s="5">
        <f t="shared" si="8"/>
        <v>0.2</v>
      </c>
    </row>
    <row r="67" spans="1:36">
      <c r="A67" t="str">
        <f>"casthouse_procurement_archetype_"&amp;TEXT(ROUND(Table21319[[#This Row],[2016]],1),"0.0")</f>
        <v>casthouse_procurement_archetype_23.8</v>
      </c>
      <c r="B67" s="5">
        <f t="shared" si="2"/>
        <v>23.8</v>
      </c>
      <c r="C67" s="5">
        <f t="shared" si="12"/>
        <v>23.8</v>
      </c>
      <c r="D67" s="5">
        <f t="shared" si="12"/>
        <v>23.8</v>
      </c>
      <c r="E67" s="5">
        <f t="shared" si="12"/>
        <v>23.22</v>
      </c>
      <c r="F67" s="5">
        <f t="shared" si="12"/>
        <v>21.82</v>
      </c>
      <c r="G67" s="5">
        <f t="shared" si="12"/>
        <v>22.01</v>
      </c>
      <c r="H67" s="5">
        <f t="shared" si="12"/>
        <v>21.4</v>
      </c>
      <c r="I67" s="5">
        <f t="shared" si="12"/>
        <v>20.22</v>
      </c>
      <c r="J67" s="5">
        <f t="shared" si="12"/>
        <v>19.56</v>
      </c>
      <c r="K67" s="5">
        <f t="shared" si="12"/>
        <v>18.88</v>
      </c>
      <c r="L67" s="5">
        <f t="shared" si="12"/>
        <v>17.81</v>
      </c>
      <c r="M67" s="5">
        <f t="shared" si="12"/>
        <v>17.68</v>
      </c>
      <c r="N67" s="5">
        <f t="shared" si="12"/>
        <v>16.8</v>
      </c>
      <c r="O67" s="5">
        <f t="shared" si="12"/>
        <v>15.89</v>
      </c>
      <c r="P67" s="5">
        <f t="shared" si="12"/>
        <v>14.81</v>
      </c>
      <c r="Q67" s="5">
        <f t="shared" si="12"/>
        <v>12.72</v>
      </c>
      <c r="R67" s="5">
        <f t="shared" si="12"/>
        <v>9.89</v>
      </c>
      <c r="S67" s="5">
        <f t="shared" si="11"/>
        <v>8.99</v>
      </c>
      <c r="T67" s="5">
        <f t="shared" si="11"/>
        <v>7.03</v>
      </c>
      <c r="U67" s="5">
        <f t="shared" si="11"/>
        <v>5.05</v>
      </c>
      <c r="V67" s="5">
        <f t="shared" si="11"/>
        <v>4.69</v>
      </c>
      <c r="W67" s="5">
        <f t="shared" si="11"/>
        <v>3.58</v>
      </c>
      <c r="X67" s="5">
        <f t="shared" si="11"/>
        <v>3.02</v>
      </c>
      <c r="Y67" s="5">
        <f t="shared" si="11"/>
        <v>2.44</v>
      </c>
      <c r="Z67" s="5">
        <f t="shared" si="11"/>
        <v>2.35</v>
      </c>
      <c r="AA67" s="5">
        <f t="shared" si="11"/>
        <v>2.09</v>
      </c>
      <c r="AB67" s="5">
        <f t="shared" si="11"/>
        <v>1.7</v>
      </c>
      <c r="AC67" s="5">
        <f t="shared" si="11"/>
        <v>1.38</v>
      </c>
      <c r="AD67" s="5">
        <f t="shared" si="11"/>
        <v>1.33</v>
      </c>
      <c r="AE67" s="5">
        <f t="shared" si="11"/>
        <v>1.11</v>
      </c>
      <c r="AF67" s="5">
        <f t="shared" si="11"/>
        <v>0.98</v>
      </c>
      <c r="AG67" s="5">
        <f t="shared" si="11"/>
        <v>0.88</v>
      </c>
      <c r="AH67" s="5">
        <f t="shared" si="8"/>
        <v>0.51</v>
      </c>
      <c r="AI67" s="5">
        <f t="shared" si="8"/>
        <v>0.3</v>
      </c>
      <c r="AJ67" s="5">
        <f t="shared" si="8"/>
        <v>0.2</v>
      </c>
    </row>
    <row r="68" spans="1:36">
      <c r="A68" t="str">
        <f>"casthouse_procurement_archetype_"&amp;TEXT(ROUND(Table21319[[#This Row],[2016]],1),"0.0")</f>
        <v>casthouse_procurement_archetype_23.7</v>
      </c>
      <c r="B68" s="5">
        <f t="shared" si="2"/>
        <v>23.7</v>
      </c>
      <c r="C68" s="5">
        <f t="shared" si="12"/>
        <v>23.7</v>
      </c>
      <c r="D68" s="5">
        <f t="shared" si="12"/>
        <v>23.7</v>
      </c>
      <c r="E68" s="5">
        <f t="shared" si="12"/>
        <v>23.12</v>
      </c>
      <c r="F68" s="5">
        <f t="shared" si="12"/>
        <v>21.72</v>
      </c>
      <c r="G68" s="5">
        <f t="shared" si="12"/>
        <v>21.92</v>
      </c>
      <c r="H68" s="5">
        <f t="shared" si="12"/>
        <v>21.31</v>
      </c>
      <c r="I68" s="5">
        <f t="shared" si="12"/>
        <v>20.14</v>
      </c>
      <c r="J68" s="5">
        <f t="shared" si="12"/>
        <v>19.48</v>
      </c>
      <c r="K68" s="5">
        <f t="shared" si="12"/>
        <v>18.8</v>
      </c>
      <c r="L68" s="5">
        <f t="shared" si="12"/>
        <v>17.74</v>
      </c>
      <c r="M68" s="5">
        <f t="shared" si="12"/>
        <v>17.61</v>
      </c>
      <c r="N68" s="5">
        <f t="shared" si="12"/>
        <v>16.73</v>
      </c>
      <c r="O68" s="5">
        <f t="shared" si="12"/>
        <v>15.82</v>
      </c>
      <c r="P68" s="5">
        <f t="shared" si="12"/>
        <v>14.75</v>
      </c>
      <c r="Q68" s="5">
        <f t="shared" si="12"/>
        <v>12.66</v>
      </c>
      <c r="R68" s="5">
        <f t="shared" si="12"/>
        <v>9.85</v>
      </c>
      <c r="S68" s="5">
        <f t="shared" si="11"/>
        <v>8.95</v>
      </c>
      <c r="T68" s="5">
        <f t="shared" si="11"/>
        <v>7</v>
      </c>
      <c r="U68" s="5">
        <f t="shared" si="11"/>
        <v>5.03</v>
      </c>
      <c r="V68" s="5">
        <f t="shared" si="11"/>
        <v>4.67</v>
      </c>
      <c r="W68" s="5">
        <f t="shared" si="11"/>
        <v>3.57</v>
      </c>
      <c r="X68" s="5">
        <f t="shared" si="11"/>
        <v>3.01</v>
      </c>
      <c r="Y68" s="5">
        <f t="shared" si="11"/>
        <v>2.43</v>
      </c>
      <c r="Z68" s="5">
        <f t="shared" si="11"/>
        <v>2.34</v>
      </c>
      <c r="AA68" s="5">
        <f t="shared" si="11"/>
        <v>2.08</v>
      </c>
      <c r="AB68" s="5">
        <f t="shared" si="11"/>
        <v>1.69</v>
      </c>
      <c r="AC68" s="5">
        <f t="shared" si="11"/>
        <v>1.38</v>
      </c>
      <c r="AD68" s="5">
        <f t="shared" si="11"/>
        <v>1.32</v>
      </c>
      <c r="AE68" s="5">
        <f t="shared" si="11"/>
        <v>1.11</v>
      </c>
      <c r="AF68" s="5">
        <f t="shared" si="11"/>
        <v>0.98</v>
      </c>
      <c r="AG68" s="5">
        <f t="shared" si="11"/>
        <v>0.88</v>
      </c>
      <c r="AH68" s="5">
        <f t="shared" si="8"/>
        <v>0.51</v>
      </c>
      <c r="AI68" s="5">
        <f t="shared" si="8"/>
        <v>0.3</v>
      </c>
      <c r="AJ68" s="5">
        <f t="shared" si="8"/>
        <v>0.2</v>
      </c>
    </row>
    <row r="69" spans="1:36">
      <c r="A69" t="str">
        <f>"casthouse_procurement_archetype_"&amp;TEXT(ROUND(Table21319[[#This Row],[2016]],1),"0.0")</f>
        <v>casthouse_procurement_archetype_23.6</v>
      </c>
      <c r="B69" s="5">
        <f t="shared" si="2"/>
        <v>23.6</v>
      </c>
      <c r="C69" s="5">
        <f t="shared" si="12"/>
        <v>23.6</v>
      </c>
      <c r="D69" s="5">
        <f t="shared" si="12"/>
        <v>23.6</v>
      </c>
      <c r="E69" s="5">
        <f t="shared" si="12"/>
        <v>23.02</v>
      </c>
      <c r="F69" s="5">
        <f t="shared" si="12"/>
        <v>21.63</v>
      </c>
      <c r="G69" s="5">
        <f t="shared" si="12"/>
        <v>21.83</v>
      </c>
      <c r="H69" s="5">
        <f t="shared" si="12"/>
        <v>21.22</v>
      </c>
      <c r="I69" s="5">
        <f t="shared" si="12"/>
        <v>20.06</v>
      </c>
      <c r="J69" s="5">
        <f t="shared" si="12"/>
        <v>19.4</v>
      </c>
      <c r="K69" s="5">
        <f t="shared" si="12"/>
        <v>18.73</v>
      </c>
      <c r="L69" s="5">
        <f t="shared" si="12"/>
        <v>17.66</v>
      </c>
      <c r="M69" s="5">
        <f t="shared" si="12"/>
        <v>17.53</v>
      </c>
      <c r="N69" s="5">
        <f t="shared" si="12"/>
        <v>16.66</v>
      </c>
      <c r="O69" s="5">
        <f t="shared" si="12"/>
        <v>15.76</v>
      </c>
      <c r="P69" s="5">
        <f t="shared" si="12"/>
        <v>14.69</v>
      </c>
      <c r="Q69" s="5">
        <f t="shared" si="12"/>
        <v>12.61</v>
      </c>
      <c r="R69" s="5">
        <f t="shared" si="12"/>
        <v>9.81</v>
      </c>
      <c r="S69" s="5">
        <f t="shared" si="11"/>
        <v>8.91</v>
      </c>
      <c r="T69" s="5">
        <f t="shared" si="11"/>
        <v>6.97</v>
      </c>
      <c r="U69" s="5">
        <f t="shared" si="11"/>
        <v>5.01</v>
      </c>
      <c r="V69" s="5">
        <f t="shared" si="11"/>
        <v>4.65</v>
      </c>
      <c r="W69" s="5">
        <f t="shared" si="11"/>
        <v>3.56</v>
      </c>
      <c r="X69" s="5">
        <f t="shared" si="11"/>
        <v>3</v>
      </c>
      <c r="Y69" s="5">
        <f t="shared" si="11"/>
        <v>2.42</v>
      </c>
      <c r="Z69" s="5">
        <f t="shared" si="11"/>
        <v>2.33</v>
      </c>
      <c r="AA69" s="5">
        <f t="shared" si="11"/>
        <v>2.07</v>
      </c>
      <c r="AB69" s="5">
        <f t="shared" si="11"/>
        <v>1.69</v>
      </c>
      <c r="AC69" s="5">
        <f t="shared" si="11"/>
        <v>1.37</v>
      </c>
      <c r="AD69" s="5">
        <f t="shared" si="11"/>
        <v>1.32</v>
      </c>
      <c r="AE69" s="5">
        <f t="shared" si="11"/>
        <v>1.11</v>
      </c>
      <c r="AF69" s="5">
        <f t="shared" si="11"/>
        <v>0.98</v>
      </c>
      <c r="AG69" s="5">
        <f t="shared" si="11"/>
        <v>0.88</v>
      </c>
      <c r="AH69" s="5">
        <f t="shared" si="8"/>
        <v>0.51</v>
      </c>
      <c r="AI69" s="5">
        <f t="shared" si="8"/>
        <v>0.3</v>
      </c>
      <c r="AJ69" s="5">
        <f t="shared" si="8"/>
        <v>0.2</v>
      </c>
    </row>
    <row r="70" spans="1:36">
      <c r="A70" t="str">
        <f>"casthouse_procurement_archetype_"&amp;TEXT(ROUND(Table21319[[#This Row],[2016]],1),"0.0")</f>
        <v>casthouse_procurement_archetype_23.5</v>
      </c>
      <c r="B70" s="5">
        <f t="shared" si="2"/>
        <v>23.5</v>
      </c>
      <c r="C70" s="5">
        <f t="shared" si="12"/>
        <v>23.5</v>
      </c>
      <c r="D70" s="5">
        <f t="shared" si="12"/>
        <v>23.5</v>
      </c>
      <c r="E70" s="5">
        <f t="shared" si="12"/>
        <v>22.93</v>
      </c>
      <c r="F70" s="5">
        <f t="shared" si="12"/>
        <v>21.54</v>
      </c>
      <c r="G70" s="5">
        <f t="shared" si="12"/>
        <v>21.74</v>
      </c>
      <c r="H70" s="5">
        <f t="shared" si="12"/>
        <v>21.13</v>
      </c>
      <c r="I70" s="5">
        <f t="shared" si="12"/>
        <v>19.97</v>
      </c>
      <c r="J70" s="5">
        <f t="shared" si="12"/>
        <v>19.32</v>
      </c>
      <c r="K70" s="5">
        <f t="shared" si="12"/>
        <v>18.65</v>
      </c>
      <c r="L70" s="5">
        <f t="shared" si="12"/>
        <v>17.59</v>
      </c>
      <c r="M70" s="5">
        <f t="shared" si="12"/>
        <v>17.46</v>
      </c>
      <c r="N70" s="5">
        <f t="shared" si="12"/>
        <v>16.59</v>
      </c>
      <c r="O70" s="5">
        <f t="shared" si="12"/>
        <v>15.69</v>
      </c>
      <c r="P70" s="5">
        <f t="shared" si="12"/>
        <v>14.62</v>
      </c>
      <c r="Q70" s="5">
        <f t="shared" si="12"/>
        <v>12.56</v>
      </c>
      <c r="R70" s="5">
        <f t="shared" si="12"/>
        <v>9.77</v>
      </c>
      <c r="S70" s="5">
        <f t="shared" si="11"/>
        <v>8.88</v>
      </c>
      <c r="T70" s="5">
        <f t="shared" si="11"/>
        <v>6.94</v>
      </c>
      <c r="U70" s="5">
        <f t="shared" si="11"/>
        <v>4.99</v>
      </c>
      <c r="V70" s="5">
        <f t="shared" si="11"/>
        <v>4.63</v>
      </c>
      <c r="W70" s="5">
        <f t="shared" si="11"/>
        <v>3.54</v>
      </c>
      <c r="X70" s="5">
        <f t="shared" si="11"/>
        <v>2.99</v>
      </c>
      <c r="Y70" s="5">
        <f t="shared" si="11"/>
        <v>2.41</v>
      </c>
      <c r="Z70" s="5">
        <f t="shared" si="11"/>
        <v>2.32</v>
      </c>
      <c r="AA70" s="5">
        <f t="shared" si="11"/>
        <v>2.06</v>
      </c>
      <c r="AB70" s="5">
        <f t="shared" si="11"/>
        <v>1.68</v>
      </c>
      <c r="AC70" s="5">
        <f t="shared" si="11"/>
        <v>1.37</v>
      </c>
      <c r="AD70" s="5">
        <f t="shared" si="11"/>
        <v>1.31</v>
      </c>
      <c r="AE70" s="5">
        <f t="shared" si="11"/>
        <v>1.1</v>
      </c>
      <c r="AF70" s="5">
        <f t="shared" si="11"/>
        <v>0.97</v>
      </c>
      <c r="AG70" s="5">
        <f t="shared" si="11"/>
        <v>0.87</v>
      </c>
      <c r="AH70" s="5">
        <f t="shared" si="8"/>
        <v>0.51</v>
      </c>
      <c r="AI70" s="5">
        <f t="shared" si="8"/>
        <v>0.3</v>
      </c>
      <c r="AJ70" s="5">
        <f t="shared" si="8"/>
        <v>0.2</v>
      </c>
    </row>
    <row r="71" spans="1:36">
      <c r="A71" t="str">
        <f>"casthouse_procurement_archetype_"&amp;TEXT(ROUND(Table21319[[#This Row],[2016]],1),"0.0")</f>
        <v>casthouse_procurement_archetype_23.4</v>
      </c>
      <c r="B71" s="5">
        <f t="shared" ref="B71:B134" si="13">MROUND(B70-0.1,0.1)</f>
        <v>23.4</v>
      </c>
      <c r="C71" s="5">
        <f t="shared" si="12"/>
        <v>23.4</v>
      </c>
      <c r="D71" s="5">
        <f t="shared" si="12"/>
        <v>23.4</v>
      </c>
      <c r="E71" s="5">
        <f t="shared" si="12"/>
        <v>22.83</v>
      </c>
      <c r="F71" s="5">
        <f t="shared" si="12"/>
        <v>21.45</v>
      </c>
      <c r="G71" s="5">
        <f t="shared" si="12"/>
        <v>21.64</v>
      </c>
      <c r="H71" s="5">
        <f t="shared" si="12"/>
        <v>21.04</v>
      </c>
      <c r="I71" s="5">
        <f t="shared" si="12"/>
        <v>19.89</v>
      </c>
      <c r="J71" s="5">
        <f t="shared" si="12"/>
        <v>19.23</v>
      </c>
      <c r="K71" s="5">
        <f t="shared" si="12"/>
        <v>18.57</v>
      </c>
      <c r="L71" s="5">
        <f t="shared" si="12"/>
        <v>17.51</v>
      </c>
      <c r="M71" s="5">
        <f t="shared" si="12"/>
        <v>17.38</v>
      </c>
      <c r="N71" s="5">
        <f t="shared" si="12"/>
        <v>16.52</v>
      </c>
      <c r="O71" s="5">
        <f t="shared" si="12"/>
        <v>15.62</v>
      </c>
      <c r="P71" s="5">
        <f t="shared" si="12"/>
        <v>14.56</v>
      </c>
      <c r="Q71" s="5">
        <f t="shared" si="12"/>
        <v>12.5</v>
      </c>
      <c r="R71" s="5">
        <f t="shared" si="12"/>
        <v>9.72</v>
      </c>
      <c r="S71" s="5">
        <f t="shared" si="11"/>
        <v>8.84</v>
      </c>
      <c r="T71" s="5">
        <f t="shared" si="11"/>
        <v>6.91</v>
      </c>
      <c r="U71" s="5">
        <f t="shared" si="11"/>
        <v>4.97</v>
      </c>
      <c r="V71" s="5">
        <f t="shared" si="11"/>
        <v>4.61</v>
      </c>
      <c r="W71" s="5">
        <f t="shared" si="11"/>
        <v>3.53</v>
      </c>
      <c r="X71" s="5">
        <f t="shared" si="11"/>
        <v>2.98</v>
      </c>
      <c r="Y71" s="5">
        <f t="shared" si="11"/>
        <v>2.4</v>
      </c>
      <c r="Z71" s="5">
        <f t="shared" si="11"/>
        <v>2.31</v>
      </c>
      <c r="AA71" s="5">
        <f t="shared" si="11"/>
        <v>2.05</v>
      </c>
      <c r="AB71" s="5">
        <f t="shared" si="11"/>
        <v>1.67</v>
      </c>
      <c r="AC71" s="5">
        <f t="shared" si="11"/>
        <v>1.36</v>
      </c>
      <c r="AD71" s="5">
        <f t="shared" si="11"/>
        <v>1.31</v>
      </c>
      <c r="AE71" s="5">
        <f t="shared" si="11"/>
        <v>1.1</v>
      </c>
      <c r="AF71" s="5">
        <f t="shared" si="11"/>
        <v>0.97</v>
      </c>
      <c r="AG71" s="5">
        <f t="shared" si="11"/>
        <v>0.87</v>
      </c>
      <c r="AH71" s="5">
        <f t="shared" si="8"/>
        <v>0.51</v>
      </c>
      <c r="AI71" s="5">
        <f t="shared" si="8"/>
        <v>0.3</v>
      </c>
      <c r="AJ71" s="5">
        <f t="shared" si="8"/>
        <v>0.2</v>
      </c>
    </row>
    <row r="72" spans="1:36">
      <c r="A72" t="str">
        <f>"casthouse_procurement_archetype_"&amp;TEXT(ROUND(Table21319[[#This Row],[2016]],1),"0.0")</f>
        <v>casthouse_procurement_archetype_23.3</v>
      </c>
      <c r="B72" s="5">
        <f t="shared" si="13"/>
        <v>23.3</v>
      </c>
      <c r="C72" s="5">
        <f t="shared" si="12"/>
        <v>23.3</v>
      </c>
      <c r="D72" s="5">
        <f t="shared" si="12"/>
        <v>23.3</v>
      </c>
      <c r="E72" s="5">
        <f t="shared" si="12"/>
        <v>22.73</v>
      </c>
      <c r="F72" s="5">
        <f t="shared" si="12"/>
        <v>21.36</v>
      </c>
      <c r="G72" s="5">
        <f t="shared" si="12"/>
        <v>21.55</v>
      </c>
      <c r="H72" s="5">
        <f t="shared" si="12"/>
        <v>20.95</v>
      </c>
      <c r="I72" s="5">
        <f t="shared" si="12"/>
        <v>19.8</v>
      </c>
      <c r="J72" s="5">
        <f t="shared" si="12"/>
        <v>19.15</v>
      </c>
      <c r="K72" s="5">
        <f t="shared" si="12"/>
        <v>18.49</v>
      </c>
      <c r="L72" s="5">
        <f t="shared" si="12"/>
        <v>17.44</v>
      </c>
      <c r="M72" s="5">
        <f t="shared" si="12"/>
        <v>17.31</v>
      </c>
      <c r="N72" s="5">
        <f t="shared" si="12"/>
        <v>16.45</v>
      </c>
      <c r="O72" s="5">
        <f t="shared" si="12"/>
        <v>15.56</v>
      </c>
      <c r="P72" s="5">
        <f t="shared" si="12"/>
        <v>14.5</v>
      </c>
      <c r="Q72" s="5">
        <f t="shared" si="12"/>
        <v>12.45</v>
      </c>
      <c r="R72" s="5">
        <f t="shared" si="12"/>
        <v>9.68</v>
      </c>
      <c r="S72" s="5">
        <f t="shared" si="11"/>
        <v>8.8</v>
      </c>
      <c r="T72" s="5">
        <f t="shared" si="11"/>
        <v>6.88</v>
      </c>
      <c r="U72" s="5">
        <f t="shared" si="11"/>
        <v>4.95</v>
      </c>
      <c r="V72" s="5">
        <f t="shared" si="11"/>
        <v>4.59</v>
      </c>
      <c r="W72" s="5">
        <f t="shared" si="11"/>
        <v>3.51</v>
      </c>
      <c r="X72" s="5">
        <f t="shared" si="11"/>
        <v>2.96</v>
      </c>
      <c r="Y72" s="5">
        <f t="shared" si="11"/>
        <v>2.39</v>
      </c>
      <c r="Z72" s="5">
        <f t="shared" si="11"/>
        <v>2.3</v>
      </c>
      <c r="AA72" s="5">
        <f t="shared" si="11"/>
        <v>2.05</v>
      </c>
      <c r="AB72" s="5">
        <f t="shared" si="11"/>
        <v>1.67</v>
      </c>
      <c r="AC72" s="5">
        <f t="shared" si="11"/>
        <v>1.36</v>
      </c>
      <c r="AD72" s="5">
        <f t="shared" si="11"/>
        <v>1.3</v>
      </c>
      <c r="AE72" s="5">
        <f t="shared" si="11"/>
        <v>1.1</v>
      </c>
      <c r="AF72" s="5">
        <f t="shared" si="11"/>
        <v>0.97</v>
      </c>
      <c r="AG72" s="5">
        <f t="shared" si="11"/>
        <v>0.87</v>
      </c>
      <c r="AH72" s="5">
        <f t="shared" si="8"/>
        <v>0.5</v>
      </c>
      <c r="AI72" s="5">
        <f t="shared" si="8"/>
        <v>0.3</v>
      </c>
      <c r="AJ72" s="5">
        <f t="shared" si="8"/>
        <v>0.2</v>
      </c>
    </row>
    <row r="73" spans="1:36">
      <c r="A73" t="str">
        <f>"casthouse_procurement_archetype_"&amp;TEXT(ROUND(Table21319[[#This Row],[2016]],1),"0.0")</f>
        <v>casthouse_procurement_archetype_23.2</v>
      </c>
      <c r="B73" s="5">
        <f t="shared" si="13"/>
        <v>23.2</v>
      </c>
      <c r="C73" s="5">
        <f t="shared" si="12"/>
        <v>23.2</v>
      </c>
      <c r="D73" s="5">
        <f t="shared" si="12"/>
        <v>23.2</v>
      </c>
      <c r="E73" s="5">
        <f t="shared" si="12"/>
        <v>22.63</v>
      </c>
      <c r="F73" s="5">
        <f t="shared" si="12"/>
        <v>21.27</v>
      </c>
      <c r="G73" s="5">
        <f t="shared" si="12"/>
        <v>21.46</v>
      </c>
      <c r="H73" s="5">
        <f t="shared" si="12"/>
        <v>20.86</v>
      </c>
      <c r="I73" s="5">
        <f t="shared" si="12"/>
        <v>19.72</v>
      </c>
      <c r="J73" s="5">
        <f t="shared" si="12"/>
        <v>19.07</v>
      </c>
      <c r="K73" s="5">
        <f t="shared" si="12"/>
        <v>18.41</v>
      </c>
      <c r="L73" s="5">
        <f t="shared" si="12"/>
        <v>17.36</v>
      </c>
      <c r="M73" s="5">
        <f t="shared" si="12"/>
        <v>17.24</v>
      </c>
      <c r="N73" s="5">
        <f t="shared" si="12"/>
        <v>16.38</v>
      </c>
      <c r="O73" s="5">
        <f t="shared" si="12"/>
        <v>15.49</v>
      </c>
      <c r="P73" s="5">
        <f t="shared" si="12"/>
        <v>14.44</v>
      </c>
      <c r="Q73" s="5">
        <f t="shared" si="12"/>
        <v>12.4</v>
      </c>
      <c r="R73" s="5">
        <f t="shared" si="12"/>
        <v>9.64</v>
      </c>
      <c r="S73" s="5">
        <f t="shared" si="11"/>
        <v>8.76</v>
      </c>
      <c r="T73" s="5">
        <f t="shared" si="11"/>
        <v>6.85</v>
      </c>
      <c r="U73" s="5">
        <f t="shared" si="11"/>
        <v>4.93</v>
      </c>
      <c r="V73" s="5">
        <f t="shared" si="11"/>
        <v>4.57</v>
      </c>
      <c r="W73" s="5">
        <f t="shared" si="11"/>
        <v>3.5</v>
      </c>
      <c r="X73" s="5">
        <f t="shared" si="11"/>
        <v>2.95</v>
      </c>
      <c r="Y73" s="5">
        <f t="shared" si="11"/>
        <v>2.38</v>
      </c>
      <c r="Z73" s="5">
        <f t="shared" si="11"/>
        <v>2.3</v>
      </c>
      <c r="AA73" s="5">
        <f t="shared" si="11"/>
        <v>2.04</v>
      </c>
      <c r="AB73" s="5">
        <f t="shared" si="11"/>
        <v>1.66</v>
      </c>
      <c r="AC73" s="5">
        <f t="shared" si="11"/>
        <v>1.35</v>
      </c>
      <c r="AD73" s="5">
        <f t="shared" si="11"/>
        <v>1.3</v>
      </c>
      <c r="AE73" s="5">
        <f t="shared" si="11"/>
        <v>1.09</v>
      </c>
      <c r="AF73" s="5">
        <f t="shared" si="11"/>
        <v>0.96</v>
      </c>
      <c r="AG73" s="5">
        <f t="shared" si="11"/>
        <v>0.87</v>
      </c>
      <c r="AH73" s="5">
        <f t="shared" si="8"/>
        <v>0.5</v>
      </c>
      <c r="AI73" s="5">
        <f t="shared" si="8"/>
        <v>0.3</v>
      </c>
      <c r="AJ73" s="5">
        <f t="shared" si="8"/>
        <v>0.2</v>
      </c>
    </row>
    <row r="74" spans="1:36">
      <c r="A74" t="str">
        <f>"casthouse_procurement_archetype_"&amp;TEXT(ROUND(Table21319[[#This Row],[2016]],1),"0.0")</f>
        <v>casthouse_procurement_archetype_23.1</v>
      </c>
      <c r="B74" s="5">
        <f t="shared" si="13"/>
        <v>23.1</v>
      </c>
      <c r="C74" s="5">
        <f t="shared" si="12"/>
        <v>23.1</v>
      </c>
      <c r="D74" s="5">
        <f t="shared" si="12"/>
        <v>23.1</v>
      </c>
      <c r="E74" s="5">
        <f t="shared" si="12"/>
        <v>22.54</v>
      </c>
      <c r="F74" s="5">
        <f t="shared" si="12"/>
        <v>21.18</v>
      </c>
      <c r="G74" s="5">
        <f t="shared" si="12"/>
        <v>21.37</v>
      </c>
      <c r="H74" s="5">
        <f t="shared" si="12"/>
        <v>20.77</v>
      </c>
      <c r="I74" s="5">
        <f t="shared" si="12"/>
        <v>19.63</v>
      </c>
      <c r="J74" s="5">
        <f t="shared" si="12"/>
        <v>18.99</v>
      </c>
      <c r="K74" s="5">
        <f t="shared" si="12"/>
        <v>18.33</v>
      </c>
      <c r="L74" s="5">
        <f t="shared" si="12"/>
        <v>17.29</v>
      </c>
      <c r="M74" s="5">
        <f t="shared" si="12"/>
        <v>17.16</v>
      </c>
      <c r="N74" s="5">
        <f t="shared" si="12"/>
        <v>16.31</v>
      </c>
      <c r="O74" s="5">
        <f t="shared" si="12"/>
        <v>15.42</v>
      </c>
      <c r="P74" s="5">
        <f t="shared" si="12"/>
        <v>14.38</v>
      </c>
      <c r="Q74" s="5">
        <f t="shared" si="12"/>
        <v>12.34</v>
      </c>
      <c r="R74" s="5">
        <f t="shared" si="12"/>
        <v>9.6</v>
      </c>
      <c r="S74" s="5">
        <f t="shared" si="11"/>
        <v>8.73</v>
      </c>
      <c r="T74" s="5">
        <f t="shared" si="11"/>
        <v>6.83</v>
      </c>
      <c r="U74" s="5">
        <f t="shared" si="11"/>
        <v>4.91</v>
      </c>
      <c r="V74" s="5">
        <f t="shared" si="11"/>
        <v>4.55</v>
      </c>
      <c r="W74" s="5">
        <f t="shared" si="11"/>
        <v>3.48</v>
      </c>
      <c r="X74" s="5">
        <f t="shared" si="11"/>
        <v>2.94</v>
      </c>
      <c r="Y74" s="5">
        <f t="shared" si="11"/>
        <v>2.37</v>
      </c>
      <c r="Z74" s="5">
        <f t="shared" si="11"/>
        <v>2.29</v>
      </c>
      <c r="AA74" s="5">
        <f t="shared" si="11"/>
        <v>2.03</v>
      </c>
      <c r="AB74" s="5">
        <f t="shared" si="11"/>
        <v>1.65</v>
      </c>
      <c r="AC74" s="5">
        <f t="shared" si="11"/>
        <v>1.35</v>
      </c>
      <c r="AD74" s="5">
        <f t="shared" si="11"/>
        <v>1.3</v>
      </c>
      <c r="AE74" s="5">
        <f t="shared" si="11"/>
        <v>1.09</v>
      </c>
      <c r="AF74" s="5">
        <f t="shared" si="11"/>
        <v>0.96</v>
      </c>
      <c r="AG74" s="5">
        <f t="shared" si="11"/>
        <v>0.86</v>
      </c>
      <c r="AH74" s="5">
        <f t="shared" si="8"/>
        <v>0.5</v>
      </c>
      <c r="AI74" s="5">
        <f t="shared" si="8"/>
        <v>0.3</v>
      </c>
      <c r="AJ74" s="5">
        <f t="shared" si="8"/>
        <v>0.2</v>
      </c>
    </row>
    <row r="75" spans="1:36">
      <c r="A75" t="str">
        <f>"casthouse_procurement_archetype_"&amp;TEXT(ROUND(Table21319[[#This Row],[2016]],1),"0.0")</f>
        <v>casthouse_procurement_archetype_23.0</v>
      </c>
      <c r="B75" s="5">
        <f t="shared" si="13"/>
        <v>23</v>
      </c>
      <c r="C75" s="5">
        <f t="shared" si="12"/>
        <v>23</v>
      </c>
      <c r="D75" s="5">
        <f t="shared" si="12"/>
        <v>23</v>
      </c>
      <c r="E75" s="5">
        <f t="shared" si="12"/>
        <v>22.44</v>
      </c>
      <c r="F75" s="5">
        <f t="shared" si="12"/>
        <v>21.08</v>
      </c>
      <c r="G75" s="5">
        <f t="shared" si="12"/>
        <v>21.27</v>
      </c>
      <c r="H75" s="5">
        <f t="shared" si="12"/>
        <v>20.68</v>
      </c>
      <c r="I75" s="5">
        <f t="shared" si="12"/>
        <v>19.55</v>
      </c>
      <c r="J75" s="5">
        <f t="shared" si="12"/>
        <v>18.91</v>
      </c>
      <c r="K75" s="5">
        <f t="shared" si="12"/>
        <v>18.25</v>
      </c>
      <c r="L75" s="5">
        <f t="shared" si="12"/>
        <v>17.21</v>
      </c>
      <c r="M75" s="5">
        <f t="shared" si="12"/>
        <v>17.09</v>
      </c>
      <c r="N75" s="5">
        <f t="shared" si="12"/>
        <v>16.24</v>
      </c>
      <c r="O75" s="5">
        <f t="shared" si="12"/>
        <v>15.36</v>
      </c>
      <c r="P75" s="5">
        <f t="shared" si="12"/>
        <v>14.32</v>
      </c>
      <c r="Q75" s="5">
        <f t="shared" si="12"/>
        <v>12.29</v>
      </c>
      <c r="R75" s="5">
        <f t="shared" si="12"/>
        <v>9.56</v>
      </c>
      <c r="S75" s="5">
        <f t="shared" si="11"/>
        <v>8.69</v>
      </c>
      <c r="T75" s="5">
        <f t="shared" si="11"/>
        <v>6.8</v>
      </c>
      <c r="U75" s="5">
        <f t="shared" si="11"/>
        <v>4.89</v>
      </c>
      <c r="V75" s="5">
        <f t="shared" si="11"/>
        <v>4.54</v>
      </c>
      <c r="W75" s="5">
        <f t="shared" si="11"/>
        <v>3.47</v>
      </c>
      <c r="X75" s="5">
        <f t="shared" si="11"/>
        <v>2.93</v>
      </c>
      <c r="Y75" s="5">
        <f t="shared" si="11"/>
        <v>2.37</v>
      </c>
      <c r="Z75" s="5">
        <f t="shared" si="11"/>
        <v>2.28</v>
      </c>
      <c r="AA75" s="5">
        <f t="shared" si="11"/>
        <v>2.02</v>
      </c>
      <c r="AB75" s="5">
        <f t="shared" si="11"/>
        <v>1.65</v>
      </c>
      <c r="AC75" s="5">
        <f t="shared" si="11"/>
        <v>1.34</v>
      </c>
      <c r="AD75" s="5">
        <f t="shared" si="11"/>
        <v>1.29</v>
      </c>
      <c r="AE75" s="5">
        <f t="shared" si="11"/>
        <v>1.08</v>
      </c>
      <c r="AF75" s="5">
        <f t="shared" si="11"/>
        <v>0.96</v>
      </c>
      <c r="AG75" s="5">
        <f t="shared" si="11"/>
        <v>0.86</v>
      </c>
      <c r="AH75" s="5">
        <f t="shared" si="8"/>
        <v>0.5</v>
      </c>
      <c r="AI75" s="5">
        <f t="shared" si="8"/>
        <v>0.3</v>
      </c>
      <c r="AJ75" s="5">
        <f t="shared" si="8"/>
        <v>0.2</v>
      </c>
    </row>
    <row r="76" spans="1:36">
      <c r="A76" t="str">
        <f>"casthouse_procurement_archetype_"&amp;TEXT(ROUND(Table21319[[#This Row],[2016]],1),"0.0")</f>
        <v>casthouse_procurement_archetype_22.9</v>
      </c>
      <c r="B76" s="5">
        <f t="shared" si="13"/>
        <v>22.9</v>
      </c>
      <c r="C76" s="5">
        <f t="shared" si="12"/>
        <v>22.9</v>
      </c>
      <c r="D76" s="5">
        <f t="shared" si="12"/>
        <v>22.9</v>
      </c>
      <c r="E76" s="5">
        <f t="shared" si="12"/>
        <v>22.34</v>
      </c>
      <c r="F76" s="5">
        <f t="shared" si="12"/>
        <v>20.99</v>
      </c>
      <c r="G76" s="5">
        <f t="shared" si="12"/>
        <v>21.18</v>
      </c>
      <c r="H76" s="5">
        <f t="shared" si="12"/>
        <v>20.59</v>
      </c>
      <c r="I76" s="5">
        <f t="shared" si="12"/>
        <v>19.46</v>
      </c>
      <c r="J76" s="5">
        <f t="shared" si="12"/>
        <v>18.82</v>
      </c>
      <c r="K76" s="5">
        <f t="shared" si="12"/>
        <v>18.17</v>
      </c>
      <c r="L76" s="5">
        <f t="shared" si="12"/>
        <v>17.14</v>
      </c>
      <c r="M76" s="5">
        <f t="shared" si="12"/>
        <v>17.01</v>
      </c>
      <c r="N76" s="5">
        <f t="shared" si="12"/>
        <v>16.17</v>
      </c>
      <c r="O76" s="5">
        <f t="shared" si="12"/>
        <v>15.29</v>
      </c>
      <c r="P76" s="5">
        <f t="shared" si="12"/>
        <v>14.25</v>
      </c>
      <c r="Q76" s="5">
        <f t="shared" si="12"/>
        <v>12.24</v>
      </c>
      <c r="R76" s="5">
        <f t="shared" ref="R76:AG91" si="14">MROUND((($B76-$AJ$2)*((R$2-$AJ$2)/($B$2-$AJ$2)))+$AJ$2,0.01)</f>
        <v>9.52</v>
      </c>
      <c r="S76" s="5">
        <f t="shared" si="14"/>
        <v>8.65</v>
      </c>
      <c r="T76" s="5">
        <f t="shared" si="14"/>
        <v>6.77</v>
      </c>
      <c r="U76" s="5">
        <f t="shared" si="14"/>
        <v>4.87</v>
      </c>
      <c r="V76" s="5">
        <f t="shared" si="14"/>
        <v>4.52</v>
      </c>
      <c r="W76" s="5">
        <f t="shared" si="14"/>
        <v>3.45</v>
      </c>
      <c r="X76" s="5">
        <f t="shared" si="14"/>
        <v>2.92</v>
      </c>
      <c r="Y76" s="5">
        <f t="shared" si="14"/>
        <v>2.36</v>
      </c>
      <c r="Z76" s="5">
        <f t="shared" si="14"/>
        <v>2.27</v>
      </c>
      <c r="AA76" s="5">
        <f t="shared" si="14"/>
        <v>2.01</v>
      </c>
      <c r="AB76" s="5">
        <f t="shared" si="14"/>
        <v>1.64</v>
      </c>
      <c r="AC76" s="5">
        <f t="shared" si="14"/>
        <v>1.34</v>
      </c>
      <c r="AD76" s="5">
        <f t="shared" si="14"/>
        <v>1.29</v>
      </c>
      <c r="AE76" s="5">
        <f t="shared" si="14"/>
        <v>1.08</v>
      </c>
      <c r="AF76" s="5">
        <f t="shared" si="14"/>
        <v>0.95</v>
      </c>
      <c r="AG76" s="5">
        <f t="shared" si="14"/>
        <v>0.86</v>
      </c>
      <c r="AH76" s="5">
        <f t="shared" si="8"/>
        <v>0.5</v>
      </c>
      <c r="AI76" s="5">
        <f t="shared" si="8"/>
        <v>0.3</v>
      </c>
      <c r="AJ76" s="5">
        <f t="shared" si="8"/>
        <v>0.2</v>
      </c>
    </row>
    <row r="77" spans="1:36">
      <c r="A77" t="str">
        <f>"casthouse_procurement_archetype_"&amp;TEXT(ROUND(Table21319[[#This Row],[2016]],1),"0.0")</f>
        <v>casthouse_procurement_archetype_22.8</v>
      </c>
      <c r="B77" s="5">
        <f t="shared" si="13"/>
        <v>22.8</v>
      </c>
      <c r="C77" s="5">
        <f t="shared" ref="C77:R92" si="15">MROUND((($B77-$AJ$2)*((C$2-$AJ$2)/($B$2-$AJ$2)))+$AJ$2,0.01)</f>
        <v>22.8</v>
      </c>
      <c r="D77" s="5">
        <f t="shared" si="15"/>
        <v>22.8</v>
      </c>
      <c r="E77" s="5">
        <f t="shared" si="15"/>
        <v>22.24</v>
      </c>
      <c r="F77" s="5">
        <f t="shared" si="15"/>
        <v>20.9</v>
      </c>
      <c r="G77" s="5">
        <f t="shared" si="15"/>
        <v>21.09</v>
      </c>
      <c r="H77" s="5">
        <f t="shared" si="15"/>
        <v>20.5</v>
      </c>
      <c r="I77" s="5">
        <f t="shared" si="15"/>
        <v>19.38</v>
      </c>
      <c r="J77" s="5">
        <f t="shared" si="15"/>
        <v>18.74</v>
      </c>
      <c r="K77" s="5">
        <f t="shared" si="15"/>
        <v>18.09</v>
      </c>
      <c r="L77" s="5">
        <f t="shared" si="15"/>
        <v>17.06</v>
      </c>
      <c r="M77" s="5">
        <f t="shared" si="15"/>
        <v>16.94</v>
      </c>
      <c r="N77" s="5">
        <f t="shared" si="15"/>
        <v>16.1</v>
      </c>
      <c r="O77" s="5">
        <f t="shared" si="15"/>
        <v>15.22</v>
      </c>
      <c r="P77" s="5">
        <f t="shared" si="15"/>
        <v>14.19</v>
      </c>
      <c r="Q77" s="5">
        <f t="shared" si="15"/>
        <v>12.18</v>
      </c>
      <c r="R77" s="5">
        <f t="shared" si="15"/>
        <v>9.48</v>
      </c>
      <c r="S77" s="5">
        <f t="shared" si="14"/>
        <v>8.61</v>
      </c>
      <c r="T77" s="5">
        <f t="shared" si="14"/>
        <v>6.74</v>
      </c>
      <c r="U77" s="5">
        <f t="shared" si="14"/>
        <v>4.85</v>
      </c>
      <c r="V77" s="5">
        <f t="shared" si="14"/>
        <v>4.5</v>
      </c>
      <c r="W77" s="5">
        <f t="shared" si="14"/>
        <v>3.44</v>
      </c>
      <c r="X77" s="5">
        <f t="shared" si="14"/>
        <v>2.9</v>
      </c>
      <c r="Y77" s="5">
        <f t="shared" si="14"/>
        <v>2.35</v>
      </c>
      <c r="Z77" s="5">
        <f t="shared" si="14"/>
        <v>2.26</v>
      </c>
      <c r="AA77" s="5">
        <f t="shared" si="14"/>
        <v>2.01</v>
      </c>
      <c r="AB77" s="5">
        <f t="shared" si="14"/>
        <v>1.63</v>
      </c>
      <c r="AC77" s="5">
        <f t="shared" si="14"/>
        <v>1.33</v>
      </c>
      <c r="AD77" s="5">
        <f t="shared" si="14"/>
        <v>1.28</v>
      </c>
      <c r="AE77" s="5">
        <f t="shared" si="14"/>
        <v>1.08</v>
      </c>
      <c r="AF77" s="5">
        <f t="shared" si="14"/>
        <v>0.95</v>
      </c>
      <c r="AG77" s="5">
        <f t="shared" si="14"/>
        <v>0.85</v>
      </c>
      <c r="AH77" s="5">
        <f t="shared" si="8"/>
        <v>0.5</v>
      </c>
      <c r="AI77" s="5">
        <f t="shared" si="8"/>
        <v>0.3</v>
      </c>
      <c r="AJ77" s="5">
        <f t="shared" si="8"/>
        <v>0.2</v>
      </c>
    </row>
    <row r="78" spans="1:36">
      <c r="A78" t="str">
        <f>"casthouse_procurement_archetype_"&amp;TEXT(ROUND(Table21319[[#This Row],[2016]],1),"0.0")</f>
        <v>casthouse_procurement_archetype_22.7</v>
      </c>
      <c r="B78" s="5">
        <f t="shared" si="13"/>
        <v>22.7</v>
      </c>
      <c r="C78" s="5">
        <f t="shared" si="15"/>
        <v>22.7</v>
      </c>
      <c r="D78" s="5">
        <f t="shared" si="15"/>
        <v>22.7</v>
      </c>
      <c r="E78" s="5">
        <f t="shared" si="15"/>
        <v>22.15</v>
      </c>
      <c r="F78" s="5">
        <f t="shared" si="15"/>
        <v>20.81</v>
      </c>
      <c r="G78" s="5">
        <f t="shared" si="15"/>
        <v>21</v>
      </c>
      <c r="H78" s="5">
        <f t="shared" si="15"/>
        <v>20.41</v>
      </c>
      <c r="I78" s="5">
        <f t="shared" si="15"/>
        <v>19.29</v>
      </c>
      <c r="J78" s="5">
        <f t="shared" si="15"/>
        <v>18.66</v>
      </c>
      <c r="K78" s="5">
        <f t="shared" si="15"/>
        <v>18.01</v>
      </c>
      <c r="L78" s="5">
        <f t="shared" si="15"/>
        <v>16.99</v>
      </c>
      <c r="M78" s="5">
        <f t="shared" si="15"/>
        <v>16.87</v>
      </c>
      <c r="N78" s="5">
        <f t="shared" si="15"/>
        <v>16.03</v>
      </c>
      <c r="O78" s="5">
        <f t="shared" si="15"/>
        <v>15.16</v>
      </c>
      <c r="P78" s="5">
        <f t="shared" si="15"/>
        <v>14.13</v>
      </c>
      <c r="Q78" s="5">
        <f t="shared" si="15"/>
        <v>12.13</v>
      </c>
      <c r="R78" s="5">
        <f t="shared" si="15"/>
        <v>9.44</v>
      </c>
      <c r="S78" s="5">
        <f t="shared" si="14"/>
        <v>8.58</v>
      </c>
      <c r="T78" s="5">
        <f t="shared" si="14"/>
        <v>6.71</v>
      </c>
      <c r="U78" s="5">
        <f t="shared" si="14"/>
        <v>4.83</v>
      </c>
      <c r="V78" s="5">
        <f t="shared" si="14"/>
        <v>4.48</v>
      </c>
      <c r="W78" s="5">
        <f t="shared" si="14"/>
        <v>3.43</v>
      </c>
      <c r="X78" s="5">
        <f t="shared" si="14"/>
        <v>2.89</v>
      </c>
      <c r="Y78" s="5">
        <f t="shared" si="14"/>
        <v>2.34</v>
      </c>
      <c r="Z78" s="5">
        <f t="shared" si="14"/>
        <v>2.25</v>
      </c>
      <c r="AA78" s="5">
        <f t="shared" si="14"/>
        <v>2</v>
      </c>
      <c r="AB78" s="5">
        <f t="shared" si="14"/>
        <v>1.63</v>
      </c>
      <c r="AC78" s="5">
        <f t="shared" si="14"/>
        <v>1.33</v>
      </c>
      <c r="AD78" s="5">
        <f t="shared" si="14"/>
        <v>1.28</v>
      </c>
      <c r="AE78" s="5">
        <f t="shared" si="14"/>
        <v>1.07</v>
      </c>
      <c r="AF78" s="5">
        <f t="shared" si="14"/>
        <v>0.95</v>
      </c>
      <c r="AG78" s="5">
        <f t="shared" si="14"/>
        <v>0.85</v>
      </c>
      <c r="AH78" s="5">
        <f t="shared" si="8"/>
        <v>0.5</v>
      </c>
      <c r="AI78" s="5">
        <f t="shared" si="8"/>
        <v>0.3</v>
      </c>
      <c r="AJ78" s="5">
        <f t="shared" si="8"/>
        <v>0.2</v>
      </c>
    </row>
    <row r="79" spans="1:36">
      <c r="A79" t="str">
        <f>"casthouse_procurement_archetype_"&amp;TEXT(ROUND(Table21319[[#This Row],[2016]],1),"0.0")</f>
        <v>casthouse_procurement_archetype_22.6</v>
      </c>
      <c r="B79" s="5">
        <f t="shared" si="13"/>
        <v>22.6</v>
      </c>
      <c r="C79" s="5">
        <f t="shared" si="15"/>
        <v>22.6</v>
      </c>
      <c r="D79" s="5">
        <f t="shared" si="15"/>
        <v>22.6</v>
      </c>
      <c r="E79" s="5">
        <f t="shared" si="15"/>
        <v>22.05</v>
      </c>
      <c r="F79" s="5">
        <f t="shared" si="15"/>
        <v>20.72</v>
      </c>
      <c r="G79" s="5">
        <f t="shared" si="15"/>
        <v>20.9</v>
      </c>
      <c r="H79" s="5">
        <f t="shared" si="15"/>
        <v>20.33</v>
      </c>
      <c r="I79" s="5">
        <f t="shared" si="15"/>
        <v>19.21</v>
      </c>
      <c r="J79" s="5">
        <f t="shared" si="15"/>
        <v>18.58</v>
      </c>
      <c r="K79" s="5">
        <f t="shared" si="15"/>
        <v>17.93</v>
      </c>
      <c r="L79" s="5">
        <f t="shared" si="15"/>
        <v>16.91</v>
      </c>
      <c r="M79" s="5">
        <f t="shared" si="15"/>
        <v>16.79</v>
      </c>
      <c r="N79" s="5">
        <f t="shared" si="15"/>
        <v>15.96</v>
      </c>
      <c r="O79" s="5">
        <f t="shared" si="15"/>
        <v>15.09</v>
      </c>
      <c r="P79" s="5">
        <f t="shared" si="15"/>
        <v>14.07</v>
      </c>
      <c r="Q79" s="5">
        <f t="shared" si="15"/>
        <v>12.08</v>
      </c>
      <c r="R79" s="5">
        <f t="shared" si="15"/>
        <v>9.4</v>
      </c>
      <c r="S79" s="5">
        <f t="shared" si="14"/>
        <v>8.54</v>
      </c>
      <c r="T79" s="5">
        <f t="shared" si="14"/>
        <v>6.68</v>
      </c>
      <c r="U79" s="5">
        <f t="shared" si="14"/>
        <v>4.81</v>
      </c>
      <c r="V79" s="5">
        <f t="shared" si="14"/>
        <v>4.46</v>
      </c>
      <c r="W79" s="5">
        <f t="shared" si="14"/>
        <v>3.41</v>
      </c>
      <c r="X79" s="5">
        <f t="shared" si="14"/>
        <v>2.88</v>
      </c>
      <c r="Y79" s="5">
        <f t="shared" si="14"/>
        <v>2.33</v>
      </c>
      <c r="Z79" s="5">
        <f t="shared" si="14"/>
        <v>2.24</v>
      </c>
      <c r="AA79" s="5">
        <f t="shared" si="14"/>
        <v>1.99</v>
      </c>
      <c r="AB79" s="5">
        <f t="shared" si="14"/>
        <v>1.62</v>
      </c>
      <c r="AC79" s="5">
        <f t="shared" si="14"/>
        <v>1.32</v>
      </c>
      <c r="AD79" s="5">
        <f t="shared" si="14"/>
        <v>1.27</v>
      </c>
      <c r="AE79" s="5">
        <f t="shared" si="14"/>
        <v>1.07</v>
      </c>
      <c r="AF79" s="5">
        <f t="shared" si="14"/>
        <v>0.94</v>
      </c>
      <c r="AG79" s="5">
        <f t="shared" si="14"/>
        <v>0.85</v>
      </c>
      <c r="AH79" s="5">
        <f t="shared" si="8"/>
        <v>0.49</v>
      </c>
      <c r="AI79" s="5">
        <f t="shared" si="8"/>
        <v>0.3</v>
      </c>
      <c r="AJ79" s="5">
        <f t="shared" si="8"/>
        <v>0.2</v>
      </c>
    </row>
    <row r="80" spans="1:36">
      <c r="A80" t="str">
        <f>"casthouse_procurement_archetype_"&amp;TEXT(ROUND(Table21319[[#This Row],[2016]],1),"0.0")</f>
        <v>casthouse_procurement_archetype_22.5</v>
      </c>
      <c r="B80" s="5">
        <f t="shared" si="13"/>
        <v>22.5</v>
      </c>
      <c r="C80" s="5">
        <f t="shared" si="15"/>
        <v>22.5</v>
      </c>
      <c r="D80" s="5">
        <f t="shared" si="15"/>
        <v>22.5</v>
      </c>
      <c r="E80" s="5">
        <f t="shared" si="15"/>
        <v>21.95</v>
      </c>
      <c r="F80" s="5">
        <f t="shared" si="15"/>
        <v>20.63</v>
      </c>
      <c r="G80" s="5">
        <f t="shared" si="15"/>
        <v>20.81</v>
      </c>
      <c r="H80" s="5">
        <f t="shared" si="15"/>
        <v>20.24</v>
      </c>
      <c r="I80" s="5">
        <f t="shared" si="15"/>
        <v>19.12</v>
      </c>
      <c r="J80" s="5">
        <f t="shared" si="15"/>
        <v>18.5</v>
      </c>
      <c r="K80" s="5">
        <f t="shared" si="15"/>
        <v>17.85</v>
      </c>
      <c r="L80" s="5">
        <f t="shared" si="15"/>
        <v>16.84</v>
      </c>
      <c r="M80" s="5">
        <f t="shared" si="15"/>
        <v>16.72</v>
      </c>
      <c r="N80" s="5">
        <f t="shared" si="15"/>
        <v>15.89</v>
      </c>
      <c r="O80" s="5">
        <f t="shared" si="15"/>
        <v>15.02</v>
      </c>
      <c r="P80" s="5">
        <f t="shared" si="15"/>
        <v>14.01</v>
      </c>
      <c r="Q80" s="5">
        <f t="shared" si="15"/>
        <v>12.03</v>
      </c>
      <c r="R80" s="5">
        <f t="shared" si="15"/>
        <v>9.35</v>
      </c>
      <c r="S80" s="5">
        <f t="shared" si="14"/>
        <v>8.5</v>
      </c>
      <c r="T80" s="5">
        <f t="shared" si="14"/>
        <v>6.65</v>
      </c>
      <c r="U80" s="5">
        <f t="shared" si="14"/>
        <v>4.79</v>
      </c>
      <c r="V80" s="5">
        <f t="shared" si="14"/>
        <v>4.44</v>
      </c>
      <c r="W80" s="5">
        <f t="shared" si="14"/>
        <v>3.4</v>
      </c>
      <c r="X80" s="5">
        <f t="shared" si="14"/>
        <v>2.87</v>
      </c>
      <c r="Y80" s="5">
        <f t="shared" si="14"/>
        <v>2.32</v>
      </c>
      <c r="Z80" s="5">
        <f t="shared" si="14"/>
        <v>2.23</v>
      </c>
      <c r="AA80" s="5">
        <f t="shared" si="14"/>
        <v>1.98</v>
      </c>
      <c r="AB80" s="5">
        <f t="shared" si="14"/>
        <v>1.62</v>
      </c>
      <c r="AC80" s="5">
        <f t="shared" si="14"/>
        <v>1.32</v>
      </c>
      <c r="AD80" s="5">
        <f t="shared" si="14"/>
        <v>1.27</v>
      </c>
      <c r="AE80" s="5">
        <f t="shared" si="14"/>
        <v>1.06</v>
      </c>
      <c r="AF80" s="5">
        <f t="shared" si="14"/>
        <v>0.94</v>
      </c>
      <c r="AG80" s="5">
        <f t="shared" si="14"/>
        <v>0.85</v>
      </c>
      <c r="AH80" s="5">
        <f t="shared" si="8"/>
        <v>0.49</v>
      </c>
      <c r="AI80" s="5">
        <f t="shared" si="8"/>
        <v>0.29</v>
      </c>
      <c r="AJ80" s="5">
        <f t="shared" si="8"/>
        <v>0.2</v>
      </c>
    </row>
    <row r="81" spans="1:36">
      <c r="A81" t="str">
        <f>"casthouse_procurement_archetype_"&amp;TEXT(ROUND(Table21319[[#This Row],[2016]],1),"0.0")</f>
        <v>casthouse_procurement_archetype_22.4</v>
      </c>
      <c r="B81" s="5">
        <f t="shared" si="13"/>
        <v>22.4</v>
      </c>
      <c r="C81" s="5">
        <f t="shared" si="15"/>
        <v>22.4</v>
      </c>
      <c r="D81" s="5">
        <f t="shared" si="15"/>
        <v>22.4</v>
      </c>
      <c r="E81" s="5">
        <f t="shared" si="15"/>
        <v>21.85</v>
      </c>
      <c r="F81" s="5">
        <f t="shared" si="15"/>
        <v>20.53</v>
      </c>
      <c r="G81" s="5">
        <f t="shared" si="15"/>
        <v>20.72</v>
      </c>
      <c r="H81" s="5">
        <f t="shared" si="15"/>
        <v>20.15</v>
      </c>
      <c r="I81" s="5">
        <f t="shared" si="15"/>
        <v>19.04</v>
      </c>
      <c r="J81" s="5">
        <f t="shared" si="15"/>
        <v>18.41</v>
      </c>
      <c r="K81" s="5">
        <f t="shared" si="15"/>
        <v>17.78</v>
      </c>
      <c r="L81" s="5">
        <f t="shared" si="15"/>
        <v>16.77</v>
      </c>
      <c r="M81" s="5">
        <f t="shared" si="15"/>
        <v>16.64</v>
      </c>
      <c r="N81" s="5">
        <f t="shared" si="15"/>
        <v>15.82</v>
      </c>
      <c r="O81" s="5">
        <f t="shared" si="15"/>
        <v>14.96</v>
      </c>
      <c r="P81" s="5">
        <f t="shared" si="15"/>
        <v>13.94</v>
      </c>
      <c r="Q81" s="5">
        <f t="shared" si="15"/>
        <v>11.97</v>
      </c>
      <c r="R81" s="5">
        <f t="shared" si="15"/>
        <v>9.31</v>
      </c>
      <c r="S81" s="5">
        <f t="shared" si="14"/>
        <v>8.47</v>
      </c>
      <c r="T81" s="5">
        <f t="shared" si="14"/>
        <v>6.62</v>
      </c>
      <c r="U81" s="5">
        <f t="shared" si="14"/>
        <v>4.77</v>
      </c>
      <c r="V81" s="5">
        <f t="shared" si="14"/>
        <v>4.42</v>
      </c>
      <c r="W81" s="5">
        <f t="shared" si="14"/>
        <v>3.38</v>
      </c>
      <c r="X81" s="5">
        <f t="shared" si="14"/>
        <v>2.86</v>
      </c>
      <c r="Y81" s="5">
        <f t="shared" si="14"/>
        <v>2.31</v>
      </c>
      <c r="Z81" s="5">
        <f t="shared" si="14"/>
        <v>2.22</v>
      </c>
      <c r="AA81" s="5">
        <f t="shared" si="14"/>
        <v>1.97</v>
      </c>
      <c r="AB81" s="5">
        <f t="shared" si="14"/>
        <v>1.61</v>
      </c>
      <c r="AC81" s="5">
        <f t="shared" si="14"/>
        <v>1.31</v>
      </c>
      <c r="AD81" s="5">
        <f t="shared" si="14"/>
        <v>1.26</v>
      </c>
      <c r="AE81" s="5">
        <f t="shared" si="14"/>
        <v>1.06</v>
      </c>
      <c r="AF81" s="5">
        <f t="shared" si="14"/>
        <v>0.94</v>
      </c>
      <c r="AG81" s="5">
        <f t="shared" si="14"/>
        <v>0.84</v>
      </c>
      <c r="AH81" s="5">
        <f t="shared" si="8"/>
        <v>0.49</v>
      </c>
      <c r="AI81" s="5">
        <f t="shared" si="8"/>
        <v>0.29</v>
      </c>
      <c r="AJ81" s="5">
        <f t="shared" si="8"/>
        <v>0.2</v>
      </c>
    </row>
    <row r="82" spans="1:36">
      <c r="A82" t="str">
        <f>"casthouse_procurement_archetype_"&amp;TEXT(ROUND(Table21319[[#This Row],[2016]],1),"0.0")</f>
        <v>casthouse_procurement_archetype_22.3</v>
      </c>
      <c r="B82" s="5">
        <f t="shared" si="13"/>
        <v>22.3</v>
      </c>
      <c r="C82" s="5">
        <f t="shared" si="15"/>
        <v>22.3</v>
      </c>
      <c r="D82" s="5">
        <f t="shared" si="15"/>
        <v>22.3</v>
      </c>
      <c r="E82" s="5">
        <f t="shared" si="15"/>
        <v>21.76</v>
      </c>
      <c r="F82" s="5">
        <f t="shared" si="15"/>
        <v>20.44</v>
      </c>
      <c r="G82" s="5">
        <f t="shared" si="15"/>
        <v>20.63</v>
      </c>
      <c r="H82" s="5">
        <f t="shared" si="15"/>
        <v>20.06</v>
      </c>
      <c r="I82" s="5">
        <f t="shared" si="15"/>
        <v>18.95</v>
      </c>
      <c r="J82" s="5">
        <f t="shared" si="15"/>
        <v>18.33</v>
      </c>
      <c r="K82" s="5">
        <f t="shared" si="15"/>
        <v>17.7</v>
      </c>
      <c r="L82" s="5">
        <f t="shared" si="15"/>
        <v>16.69</v>
      </c>
      <c r="M82" s="5">
        <f t="shared" si="15"/>
        <v>16.57</v>
      </c>
      <c r="N82" s="5">
        <f t="shared" si="15"/>
        <v>15.75</v>
      </c>
      <c r="O82" s="5">
        <f t="shared" si="15"/>
        <v>14.89</v>
      </c>
      <c r="P82" s="5">
        <f t="shared" si="15"/>
        <v>13.88</v>
      </c>
      <c r="Q82" s="5">
        <f t="shared" si="15"/>
        <v>11.92</v>
      </c>
      <c r="R82" s="5">
        <f t="shared" si="15"/>
        <v>9.27</v>
      </c>
      <c r="S82" s="5">
        <f t="shared" si="14"/>
        <v>8.43</v>
      </c>
      <c r="T82" s="5">
        <f t="shared" si="14"/>
        <v>6.59</v>
      </c>
      <c r="U82" s="5">
        <f t="shared" si="14"/>
        <v>4.74</v>
      </c>
      <c r="V82" s="5">
        <f t="shared" si="14"/>
        <v>4.4</v>
      </c>
      <c r="W82" s="5">
        <f t="shared" si="14"/>
        <v>3.37</v>
      </c>
      <c r="X82" s="5">
        <f t="shared" si="14"/>
        <v>2.84</v>
      </c>
      <c r="Y82" s="5">
        <f t="shared" si="14"/>
        <v>2.3</v>
      </c>
      <c r="Z82" s="5">
        <f t="shared" si="14"/>
        <v>2.21</v>
      </c>
      <c r="AA82" s="5">
        <f t="shared" si="14"/>
        <v>1.97</v>
      </c>
      <c r="AB82" s="5">
        <f t="shared" si="14"/>
        <v>1.6</v>
      </c>
      <c r="AC82" s="5">
        <f t="shared" si="14"/>
        <v>1.31</v>
      </c>
      <c r="AD82" s="5">
        <f t="shared" si="14"/>
        <v>1.26</v>
      </c>
      <c r="AE82" s="5">
        <f t="shared" si="14"/>
        <v>1.06</v>
      </c>
      <c r="AF82" s="5">
        <f t="shared" si="14"/>
        <v>0.93</v>
      </c>
      <c r="AG82" s="5">
        <f t="shared" si="14"/>
        <v>0.84</v>
      </c>
      <c r="AH82" s="5">
        <f t="shared" si="8"/>
        <v>0.49</v>
      </c>
      <c r="AI82" s="5">
        <f t="shared" ref="AI82:AJ82" si="16">MROUND((($B82-$AJ$2)*((AI$2-$AJ$2)/($B$2-$AJ$2)))+$AJ$2,0.01)</f>
        <v>0.29</v>
      </c>
      <c r="AJ82" s="5">
        <f t="shared" si="16"/>
        <v>0.2</v>
      </c>
    </row>
    <row r="83" spans="1:36">
      <c r="A83" t="str">
        <f>"casthouse_procurement_archetype_"&amp;TEXT(ROUND(Table21319[[#This Row],[2016]],1),"0.0")</f>
        <v>casthouse_procurement_archetype_22.2</v>
      </c>
      <c r="B83" s="5">
        <f t="shared" si="13"/>
        <v>22.2</v>
      </c>
      <c r="C83" s="5">
        <f t="shared" si="15"/>
        <v>22.2</v>
      </c>
      <c r="D83" s="5">
        <f t="shared" si="15"/>
        <v>22.2</v>
      </c>
      <c r="E83" s="5">
        <f t="shared" si="15"/>
        <v>21.66</v>
      </c>
      <c r="F83" s="5">
        <f t="shared" si="15"/>
        <v>20.35</v>
      </c>
      <c r="G83" s="5">
        <f t="shared" si="15"/>
        <v>20.53</v>
      </c>
      <c r="H83" s="5">
        <f t="shared" si="15"/>
        <v>19.97</v>
      </c>
      <c r="I83" s="5">
        <f t="shared" si="15"/>
        <v>18.87</v>
      </c>
      <c r="J83" s="5">
        <f t="shared" si="15"/>
        <v>18.25</v>
      </c>
      <c r="K83" s="5">
        <f t="shared" si="15"/>
        <v>17.62</v>
      </c>
      <c r="L83" s="5">
        <f t="shared" si="15"/>
        <v>16.62</v>
      </c>
      <c r="M83" s="5">
        <f t="shared" si="15"/>
        <v>16.49</v>
      </c>
      <c r="N83" s="5">
        <f t="shared" si="15"/>
        <v>15.67</v>
      </c>
      <c r="O83" s="5">
        <f t="shared" si="15"/>
        <v>14.82</v>
      </c>
      <c r="P83" s="5">
        <f t="shared" si="15"/>
        <v>13.82</v>
      </c>
      <c r="Q83" s="5">
        <f t="shared" si="15"/>
        <v>11.87</v>
      </c>
      <c r="R83" s="5">
        <f t="shared" si="15"/>
        <v>9.23</v>
      </c>
      <c r="S83" s="5">
        <f t="shared" si="14"/>
        <v>8.39</v>
      </c>
      <c r="T83" s="5">
        <f t="shared" si="14"/>
        <v>6.56</v>
      </c>
      <c r="U83" s="5">
        <f t="shared" si="14"/>
        <v>4.72</v>
      </c>
      <c r="V83" s="5">
        <f t="shared" si="14"/>
        <v>4.38</v>
      </c>
      <c r="W83" s="5">
        <f t="shared" si="14"/>
        <v>3.35</v>
      </c>
      <c r="X83" s="5">
        <f t="shared" si="14"/>
        <v>2.83</v>
      </c>
      <c r="Y83" s="5">
        <f t="shared" si="14"/>
        <v>2.29</v>
      </c>
      <c r="Z83" s="5">
        <f t="shared" si="14"/>
        <v>2.2</v>
      </c>
      <c r="AA83" s="5">
        <f t="shared" si="14"/>
        <v>1.96</v>
      </c>
      <c r="AB83" s="5">
        <f t="shared" si="14"/>
        <v>1.6</v>
      </c>
      <c r="AC83" s="5">
        <f t="shared" si="14"/>
        <v>1.3</v>
      </c>
      <c r="AD83" s="5">
        <f t="shared" si="14"/>
        <v>1.25</v>
      </c>
      <c r="AE83" s="5">
        <f t="shared" si="14"/>
        <v>1.05</v>
      </c>
      <c r="AF83" s="5">
        <f t="shared" si="14"/>
        <v>0.93</v>
      </c>
      <c r="AG83" s="5">
        <f t="shared" si="14"/>
        <v>0.84</v>
      </c>
      <c r="AH83" s="5">
        <f t="shared" ref="AH83:AJ146" si="17">MROUND((($B83-$AJ$2)*((AH$2-$AJ$2)/($B$2-$AJ$2)))+$AJ$2,0.01)</f>
        <v>0.49</v>
      </c>
      <c r="AI83" s="5">
        <f t="shared" si="17"/>
        <v>0.29</v>
      </c>
      <c r="AJ83" s="5">
        <f t="shared" si="17"/>
        <v>0.2</v>
      </c>
    </row>
    <row r="84" spans="1:36">
      <c r="A84" t="str">
        <f>"casthouse_procurement_archetype_"&amp;TEXT(ROUND(Table21319[[#This Row],[2016]],1),"0.0")</f>
        <v>casthouse_procurement_archetype_22.1</v>
      </c>
      <c r="B84" s="5">
        <f t="shared" si="13"/>
        <v>22.1</v>
      </c>
      <c r="C84" s="5">
        <f t="shared" si="15"/>
        <v>22.1</v>
      </c>
      <c r="D84" s="5">
        <f t="shared" si="15"/>
        <v>22.1</v>
      </c>
      <c r="E84" s="5">
        <f t="shared" si="15"/>
        <v>21.56</v>
      </c>
      <c r="F84" s="5">
        <f t="shared" si="15"/>
        <v>20.26</v>
      </c>
      <c r="G84" s="5">
        <f t="shared" si="15"/>
        <v>20.44</v>
      </c>
      <c r="H84" s="5">
        <f t="shared" si="15"/>
        <v>19.88</v>
      </c>
      <c r="I84" s="5">
        <f t="shared" si="15"/>
        <v>18.78</v>
      </c>
      <c r="J84" s="5">
        <f t="shared" si="15"/>
        <v>18.17</v>
      </c>
      <c r="K84" s="5">
        <f t="shared" si="15"/>
        <v>17.54</v>
      </c>
      <c r="L84" s="5">
        <f t="shared" si="15"/>
        <v>16.54</v>
      </c>
      <c r="M84" s="5">
        <f t="shared" si="15"/>
        <v>16.42</v>
      </c>
      <c r="N84" s="5">
        <f t="shared" si="15"/>
        <v>15.6</v>
      </c>
      <c r="O84" s="5">
        <f t="shared" si="15"/>
        <v>14.76</v>
      </c>
      <c r="P84" s="5">
        <f t="shared" si="15"/>
        <v>13.76</v>
      </c>
      <c r="Q84" s="5">
        <f t="shared" si="15"/>
        <v>11.81</v>
      </c>
      <c r="R84" s="5">
        <f t="shared" si="15"/>
        <v>9.19</v>
      </c>
      <c r="S84" s="5">
        <f t="shared" si="14"/>
        <v>8.35</v>
      </c>
      <c r="T84" s="5">
        <f t="shared" si="14"/>
        <v>6.54</v>
      </c>
      <c r="U84" s="5">
        <f t="shared" si="14"/>
        <v>4.7</v>
      </c>
      <c r="V84" s="5">
        <f t="shared" si="14"/>
        <v>4.36</v>
      </c>
      <c r="W84" s="5">
        <f t="shared" si="14"/>
        <v>3.34</v>
      </c>
      <c r="X84" s="5">
        <f t="shared" si="14"/>
        <v>2.82</v>
      </c>
      <c r="Y84" s="5">
        <f t="shared" si="14"/>
        <v>2.28</v>
      </c>
      <c r="Z84" s="5">
        <f t="shared" si="14"/>
        <v>2.2</v>
      </c>
      <c r="AA84" s="5">
        <f t="shared" si="14"/>
        <v>1.95</v>
      </c>
      <c r="AB84" s="5">
        <f t="shared" si="14"/>
        <v>1.59</v>
      </c>
      <c r="AC84" s="5">
        <f t="shared" si="14"/>
        <v>1.3</v>
      </c>
      <c r="AD84" s="5">
        <f t="shared" si="14"/>
        <v>1.25</v>
      </c>
      <c r="AE84" s="5">
        <f t="shared" si="14"/>
        <v>1.05</v>
      </c>
      <c r="AF84" s="5">
        <f t="shared" si="14"/>
        <v>0.93</v>
      </c>
      <c r="AG84" s="5">
        <f t="shared" si="14"/>
        <v>0.83</v>
      </c>
      <c r="AH84" s="5">
        <f t="shared" si="17"/>
        <v>0.49</v>
      </c>
      <c r="AI84" s="5">
        <f t="shared" si="17"/>
        <v>0.29</v>
      </c>
      <c r="AJ84" s="5">
        <f t="shared" si="17"/>
        <v>0.2</v>
      </c>
    </row>
    <row r="85" spans="1:36">
      <c r="A85" t="str">
        <f>"casthouse_procurement_archetype_"&amp;TEXT(ROUND(Table21319[[#This Row],[2016]],1),"0.0")</f>
        <v>casthouse_procurement_archetype_22.0</v>
      </c>
      <c r="B85" s="5">
        <f t="shared" si="13"/>
        <v>22</v>
      </c>
      <c r="C85" s="5">
        <f t="shared" si="15"/>
        <v>22</v>
      </c>
      <c r="D85" s="5">
        <f t="shared" si="15"/>
        <v>22</v>
      </c>
      <c r="E85" s="5">
        <f t="shared" si="15"/>
        <v>21.46</v>
      </c>
      <c r="F85" s="5">
        <f t="shared" si="15"/>
        <v>20.17</v>
      </c>
      <c r="G85" s="5">
        <f t="shared" si="15"/>
        <v>20.35</v>
      </c>
      <c r="H85" s="5">
        <f t="shared" si="15"/>
        <v>19.79</v>
      </c>
      <c r="I85" s="5">
        <f t="shared" si="15"/>
        <v>18.7</v>
      </c>
      <c r="J85" s="5">
        <f t="shared" si="15"/>
        <v>18.09</v>
      </c>
      <c r="K85" s="5">
        <f t="shared" si="15"/>
        <v>17.46</v>
      </c>
      <c r="L85" s="5">
        <f t="shared" si="15"/>
        <v>16.47</v>
      </c>
      <c r="M85" s="5">
        <f t="shared" si="15"/>
        <v>16.35</v>
      </c>
      <c r="N85" s="5">
        <f t="shared" si="15"/>
        <v>15.53</v>
      </c>
      <c r="O85" s="5">
        <f t="shared" si="15"/>
        <v>14.69</v>
      </c>
      <c r="P85" s="5">
        <f t="shared" si="15"/>
        <v>13.7</v>
      </c>
      <c r="Q85" s="5">
        <f t="shared" si="15"/>
        <v>11.76</v>
      </c>
      <c r="R85" s="5">
        <f t="shared" si="15"/>
        <v>9.15</v>
      </c>
      <c r="S85" s="5">
        <f t="shared" si="14"/>
        <v>8.32</v>
      </c>
      <c r="T85" s="5">
        <f t="shared" si="14"/>
        <v>6.51</v>
      </c>
      <c r="U85" s="5">
        <f t="shared" si="14"/>
        <v>4.68</v>
      </c>
      <c r="V85" s="5">
        <f t="shared" si="14"/>
        <v>4.35</v>
      </c>
      <c r="W85" s="5">
        <f t="shared" si="14"/>
        <v>3.33</v>
      </c>
      <c r="X85" s="5">
        <f t="shared" si="14"/>
        <v>2.81</v>
      </c>
      <c r="Y85" s="5">
        <f t="shared" si="14"/>
        <v>2.27</v>
      </c>
      <c r="Z85" s="5">
        <f t="shared" si="14"/>
        <v>2.19</v>
      </c>
      <c r="AA85" s="5">
        <f t="shared" si="14"/>
        <v>1.94</v>
      </c>
      <c r="AB85" s="5">
        <f t="shared" si="14"/>
        <v>1.58</v>
      </c>
      <c r="AC85" s="5">
        <f t="shared" si="14"/>
        <v>1.29</v>
      </c>
      <c r="AD85" s="5">
        <f t="shared" si="14"/>
        <v>1.24</v>
      </c>
      <c r="AE85" s="5">
        <f t="shared" si="14"/>
        <v>1.05</v>
      </c>
      <c r="AF85" s="5">
        <f t="shared" si="14"/>
        <v>0.92</v>
      </c>
      <c r="AG85" s="5">
        <f t="shared" si="14"/>
        <v>0.83</v>
      </c>
      <c r="AH85" s="5">
        <f t="shared" si="17"/>
        <v>0.49</v>
      </c>
      <c r="AI85" s="5">
        <f t="shared" si="17"/>
        <v>0.29</v>
      </c>
      <c r="AJ85" s="5">
        <f t="shared" si="17"/>
        <v>0.2</v>
      </c>
    </row>
    <row r="86" spans="1:36">
      <c r="A86" t="str">
        <f>"casthouse_procurement_archetype_"&amp;TEXT(ROUND(Table21319[[#This Row],[2016]],1),"0.0")</f>
        <v>casthouse_procurement_archetype_21.9</v>
      </c>
      <c r="B86" s="5">
        <f t="shared" si="13"/>
        <v>21.9</v>
      </c>
      <c r="C86" s="5">
        <f t="shared" si="15"/>
        <v>21.9</v>
      </c>
      <c r="D86" s="5">
        <f t="shared" si="15"/>
        <v>21.9</v>
      </c>
      <c r="E86" s="5">
        <f t="shared" si="15"/>
        <v>21.37</v>
      </c>
      <c r="F86" s="5">
        <f t="shared" si="15"/>
        <v>20.08</v>
      </c>
      <c r="G86" s="5">
        <f t="shared" si="15"/>
        <v>20.26</v>
      </c>
      <c r="H86" s="5">
        <f t="shared" si="15"/>
        <v>19.7</v>
      </c>
      <c r="I86" s="5">
        <f t="shared" si="15"/>
        <v>18.61</v>
      </c>
      <c r="J86" s="5">
        <f t="shared" si="15"/>
        <v>18</v>
      </c>
      <c r="K86" s="5">
        <f t="shared" si="15"/>
        <v>17.38</v>
      </c>
      <c r="L86" s="5">
        <f t="shared" si="15"/>
        <v>16.39</v>
      </c>
      <c r="M86" s="5">
        <f t="shared" si="15"/>
        <v>16.27</v>
      </c>
      <c r="N86" s="5">
        <f t="shared" si="15"/>
        <v>15.46</v>
      </c>
      <c r="O86" s="5">
        <f t="shared" si="15"/>
        <v>14.63</v>
      </c>
      <c r="P86" s="5">
        <f t="shared" si="15"/>
        <v>13.63</v>
      </c>
      <c r="Q86" s="5">
        <f t="shared" si="15"/>
        <v>11.71</v>
      </c>
      <c r="R86" s="5">
        <f t="shared" si="15"/>
        <v>9.11</v>
      </c>
      <c r="S86" s="5">
        <f t="shared" si="14"/>
        <v>8.28</v>
      </c>
      <c r="T86" s="5">
        <f t="shared" si="14"/>
        <v>6.48</v>
      </c>
      <c r="U86" s="5">
        <f t="shared" si="14"/>
        <v>4.66</v>
      </c>
      <c r="V86" s="5">
        <f t="shared" si="14"/>
        <v>4.33</v>
      </c>
      <c r="W86" s="5">
        <f t="shared" si="14"/>
        <v>3.31</v>
      </c>
      <c r="X86" s="5">
        <f t="shared" si="14"/>
        <v>2.8</v>
      </c>
      <c r="Y86" s="5">
        <f t="shared" si="14"/>
        <v>2.26</v>
      </c>
      <c r="Z86" s="5">
        <f t="shared" si="14"/>
        <v>2.18</v>
      </c>
      <c r="AA86" s="5">
        <f t="shared" si="14"/>
        <v>1.93</v>
      </c>
      <c r="AB86" s="5">
        <f t="shared" si="14"/>
        <v>1.58</v>
      </c>
      <c r="AC86" s="5">
        <f t="shared" si="14"/>
        <v>1.29</v>
      </c>
      <c r="AD86" s="5">
        <f t="shared" si="14"/>
        <v>1.24</v>
      </c>
      <c r="AE86" s="5">
        <f t="shared" si="14"/>
        <v>1.04</v>
      </c>
      <c r="AF86" s="5">
        <f t="shared" si="14"/>
        <v>0.92</v>
      </c>
      <c r="AG86" s="5">
        <f t="shared" si="14"/>
        <v>0.83</v>
      </c>
      <c r="AH86" s="5">
        <f t="shared" si="17"/>
        <v>0.49</v>
      </c>
      <c r="AI86" s="5">
        <f t="shared" si="17"/>
        <v>0.29</v>
      </c>
      <c r="AJ86" s="5">
        <f t="shared" si="17"/>
        <v>0.2</v>
      </c>
    </row>
    <row r="87" spans="1:36">
      <c r="A87" t="str">
        <f>"casthouse_procurement_archetype_"&amp;TEXT(ROUND(Table21319[[#This Row],[2016]],1),"0.0")</f>
        <v>casthouse_procurement_archetype_21.8</v>
      </c>
      <c r="B87" s="5">
        <f t="shared" si="13"/>
        <v>21.8</v>
      </c>
      <c r="C87" s="5">
        <f t="shared" si="15"/>
        <v>21.8</v>
      </c>
      <c r="D87" s="5">
        <f t="shared" si="15"/>
        <v>21.8</v>
      </c>
      <c r="E87" s="5">
        <f t="shared" si="15"/>
        <v>21.27</v>
      </c>
      <c r="F87" s="5">
        <f t="shared" si="15"/>
        <v>19.98</v>
      </c>
      <c r="G87" s="5">
        <f t="shared" si="15"/>
        <v>20.16</v>
      </c>
      <c r="H87" s="5">
        <f t="shared" si="15"/>
        <v>19.61</v>
      </c>
      <c r="I87" s="5">
        <f t="shared" si="15"/>
        <v>18.53</v>
      </c>
      <c r="J87" s="5">
        <f t="shared" si="15"/>
        <v>17.92</v>
      </c>
      <c r="K87" s="5">
        <f t="shared" si="15"/>
        <v>17.3</v>
      </c>
      <c r="L87" s="5">
        <f t="shared" si="15"/>
        <v>16.32</v>
      </c>
      <c r="M87" s="5">
        <f t="shared" si="15"/>
        <v>16.2</v>
      </c>
      <c r="N87" s="5">
        <f t="shared" si="15"/>
        <v>15.39</v>
      </c>
      <c r="O87" s="5">
        <f t="shared" si="15"/>
        <v>14.56</v>
      </c>
      <c r="P87" s="5">
        <f t="shared" si="15"/>
        <v>13.57</v>
      </c>
      <c r="Q87" s="5">
        <f t="shared" si="15"/>
        <v>11.65</v>
      </c>
      <c r="R87" s="5">
        <f t="shared" si="15"/>
        <v>9.07</v>
      </c>
      <c r="S87" s="5">
        <f t="shared" si="14"/>
        <v>8.24</v>
      </c>
      <c r="T87" s="5">
        <f t="shared" si="14"/>
        <v>6.45</v>
      </c>
      <c r="U87" s="5">
        <f t="shared" si="14"/>
        <v>4.64</v>
      </c>
      <c r="V87" s="5">
        <f t="shared" si="14"/>
        <v>4.31</v>
      </c>
      <c r="W87" s="5">
        <f t="shared" si="14"/>
        <v>3.3</v>
      </c>
      <c r="X87" s="5">
        <f t="shared" si="14"/>
        <v>2.78</v>
      </c>
      <c r="Y87" s="5">
        <f t="shared" si="14"/>
        <v>2.25</v>
      </c>
      <c r="Z87" s="5">
        <f t="shared" si="14"/>
        <v>2.17</v>
      </c>
      <c r="AA87" s="5">
        <f t="shared" si="14"/>
        <v>1.93</v>
      </c>
      <c r="AB87" s="5">
        <f t="shared" si="14"/>
        <v>1.57</v>
      </c>
      <c r="AC87" s="5">
        <f t="shared" si="14"/>
        <v>1.28</v>
      </c>
      <c r="AD87" s="5">
        <f t="shared" si="14"/>
        <v>1.23</v>
      </c>
      <c r="AE87" s="5">
        <f t="shared" si="14"/>
        <v>1.04</v>
      </c>
      <c r="AF87" s="5">
        <f t="shared" si="14"/>
        <v>0.92</v>
      </c>
      <c r="AG87" s="5">
        <f t="shared" si="14"/>
        <v>0.83</v>
      </c>
      <c r="AH87" s="5">
        <f t="shared" si="17"/>
        <v>0.48</v>
      </c>
      <c r="AI87" s="5">
        <f t="shared" si="17"/>
        <v>0.29</v>
      </c>
      <c r="AJ87" s="5">
        <f t="shared" si="17"/>
        <v>0.2</v>
      </c>
    </row>
    <row r="88" spans="1:36">
      <c r="A88" t="str">
        <f>"casthouse_procurement_archetype_"&amp;TEXT(ROUND(Table21319[[#This Row],[2016]],1),"0.0")</f>
        <v>casthouse_procurement_archetype_21.7</v>
      </c>
      <c r="B88" s="5">
        <f t="shared" si="13"/>
        <v>21.7</v>
      </c>
      <c r="C88" s="5">
        <f t="shared" si="15"/>
        <v>21.7</v>
      </c>
      <c r="D88" s="5">
        <f t="shared" si="15"/>
        <v>21.7</v>
      </c>
      <c r="E88" s="5">
        <f t="shared" si="15"/>
        <v>21.17</v>
      </c>
      <c r="F88" s="5">
        <f t="shared" si="15"/>
        <v>19.89</v>
      </c>
      <c r="G88" s="5">
        <f t="shared" si="15"/>
        <v>20.07</v>
      </c>
      <c r="H88" s="5">
        <f t="shared" si="15"/>
        <v>19.52</v>
      </c>
      <c r="I88" s="5">
        <f t="shared" si="15"/>
        <v>18.44</v>
      </c>
      <c r="J88" s="5">
        <f t="shared" si="15"/>
        <v>17.84</v>
      </c>
      <c r="K88" s="5">
        <f t="shared" si="15"/>
        <v>17.22</v>
      </c>
      <c r="L88" s="5">
        <f t="shared" si="15"/>
        <v>16.24</v>
      </c>
      <c r="M88" s="5">
        <f t="shared" si="15"/>
        <v>16.12</v>
      </c>
      <c r="N88" s="5">
        <f t="shared" si="15"/>
        <v>15.32</v>
      </c>
      <c r="O88" s="5">
        <f t="shared" si="15"/>
        <v>14.49</v>
      </c>
      <c r="P88" s="5">
        <f t="shared" si="15"/>
        <v>13.51</v>
      </c>
      <c r="Q88" s="5">
        <f t="shared" si="15"/>
        <v>11.6</v>
      </c>
      <c r="R88" s="5">
        <f t="shared" si="15"/>
        <v>9.03</v>
      </c>
      <c r="S88" s="5">
        <f t="shared" si="14"/>
        <v>8.21</v>
      </c>
      <c r="T88" s="5">
        <f t="shared" si="14"/>
        <v>6.42</v>
      </c>
      <c r="U88" s="5">
        <f t="shared" si="14"/>
        <v>4.62</v>
      </c>
      <c r="V88" s="5">
        <f t="shared" si="14"/>
        <v>4.29</v>
      </c>
      <c r="W88" s="5">
        <f t="shared" si="14"/>
        <v>3.28</v>
      </c>
      <c r="X88" s="5">
        <f t="shared" si="14"/>
        <v>2.77</v>
      </c>
      <c r="Y88" s="5">
        <f t="shared" si="14"/>
        <v>2.24</v>
      </c>
      <c r="Z88" s="5">
        <f t="shared" si="14"/>
        <v>2.16</v>
      </c>
      <c r="AA88" s="5">
        <f t="shared" si="14"/>
        <v>1.92</v>
      </c>
      <c r="AB88" s="5">
        <f t="shared" si="14"/>
        <v>1.56</v>
      </c>
      <c r="AC88" s="5">
        <f t="shared" si="14"/>
        <v>1.28</v>
      </c>
      <c r="AD88" s="5">
        <f t="shared" si="14"/>
        <v>1.23</v>
      </c>
      <c r="AE88" s="5">
        <f t="shared" si="14"/>
        <v>1.03</v>
      </c>
      <c r="AF88" s="5">
        <f t="shared" si="14"/>
        <v>0.91</v>
      </c>
      <c r="AG88" s="5">
        <f t="shared" si="14"/>
        <v>0.82</v>
      </c>
      <c r="AH88" s="5">
        <f t="shared" si="17"/>
        <v>0.48</v>
      </c>
      <c r="AI88" s="5">
        <f t="shared" si="17"/>
        <v>0.29</v>
      </c>
      <c r="AJ88" s="5">
        <f t="shared" si="17"/>
        <v>0.2</v>
      </c>
    </row>
    <row r="89" spans="1:36">
      <c r="A89" t="str">
        <f>"casthouse_procurement_archetype_"&amp;TEXT(ROUND(Table21319[[#This Row],[2016]],1),"0.0")</f>
        <v>casthouse_procurement_archetype_21.6</v>
      </c>
      <c r="B89" s="5">
        <f t="shared" si="13"/>
        <v>21.6</v>
      </c>
      <c r="C89" s="5">
        <f t="shared" si="15"/>
        <v>21.6</v>
      </c>
      <c r="D89" s="5">
        <f t="shared" si="15"/>
        <v>21.6</v>
      </c>
      <c r="E89" s="5">
        <f t="shared" si="15"/>
        <v>21.07</v>
      </c>
      <c r="F89" s="5">
        <f t="shared" si="15"/>
        <v>19.8</v>
      </c>
      <c r="G89" s="5">
        <f t="shared" si="15"/>
        <v>19.98</v>
      </c>
      <c r="H89" s="5">
        <f t="shared" si="15"/>
        <v>19.43</v>
      </c>
      <c r="I89" s="5">
        <f t="shared" si="15"/>
        <v>18.36</v>
      </c>
      <c r="J89" s="5">
        <f t="shared" si="15"/>
        <v>17.76</v>
      </c>
      <c r="K89" s="5">
        <f t="shared" si="15"/>
        <v>17.14</v>
      </c>
      <c r="L89" s="5">
        <f t="shared" si="15"/>
        <v>16.17</v>
      </c>
      <c r="M89" s="5">
        <f t="shared" si="15"/>
        <v>16.05</v>
      </c>
      <c r="N89" s="5">
        <f t="shared" si="15"/>
        <v>15.25</v>
      </c>
      <c r="O89" s="5">
        <f t="shared" si="15"/>
        <v>14.43</v>
      </c>
      <c r="P89" s="5">
        <f t="shared" si="15"/>
        <v>13.45</v>
      </c>
      <c r="Q89" s="5">
        <f t="shared" si="15"/>
        <v>11.55</v>
      </c>
      <c r="R89" s="5">
        <f t="shared" si="15"/>
        <v>8.99</v>
      </c>
      <c r="S89" s="5">
        <f t="shared" si="14"/>
        <v>8.17</v>
      </c>
      <c r="T89" s="5">
        <f t="shared" si="14"/>
        <v>6.39</v>
      </c>
      <c r="U89" s="5">
        <f t="shared" si="14"/>
        <v>4.6</v>
      </c>
      <c r="V89" s="5">
        <f t="shared" si="14"/>
        <v>4.27</v>
      </c>
      <c r="W89" s="5">
        <f t="shared" si="14"/>
        <v>3.27</v>
      </c>
      <c r="X89" s="5">
        <f t="shared" si="14"/>
        <v>2.76</v>
      </c>
      <c r="Y89" s="5">
        <f t="shared" si="14"/>
        <v>2.23</v>
      </c>
      <c r="Z89" s="5">
        <f t="shared" si="14"/>
        <v>2.15</v>
      </c>
      <c r="AA89" s="5">
        <f t="shared" si="14"/>
        <v>1.91</v>
      </c>
      <c r="AB89" s="5">
        <f t="shared" si="14"/>
        <v>1.56</v>
      </c>
      <c r="AC89" s="5">
        <f t="shared" si="14"/>
        <v>1.27</v>
      </c>
      <c r="AD89" s="5">
        <f t="shared" si="14"/>
        <v>1.22</v>
      </c>
      <c r="AE89" s="5">
        <f t="shared" si="14"/>
        <v>1.03</v>
      </c>
      <c r="AF89" s="5">
        <f t="shared" si="14"/>
        <v>0.91</v>
      </c>
      <c r="AG89" s="5">
        <f t="shared" si="14"/>
        <v>0.82</v>
      </c>
      <c r="AH89" s="5">
        <f t="shared" si="17"/>
        <v>0.48</v>
      </c>
      <c r="AI89" s="5">
        <f t="shared" si="17"/>
        <v>0.29</v>
      </c>
      <c r="AJ89" s="5">
        <f t="shared" si="17"/>
        <v>0.2</v>
      </c>
    </row>
    <row r="90" spans="1:36">
      <c r="A90" t="str">
        <f>"casthouse_procurement_archetype_"&amp;TEXT(ROUND(Table21319[[#This Row],[2016]],1),"0.0")</f>
        <v>casthouse_procurement_archetype_21.5</v>
      </c>
      <c r="B90" s="5">
        <f t="shared" si="13"/>
        <v>21.5</v>
      </c>
      <c r="C90" s="5">
        <f t="shared" si="15"/>
        <v>21.5</v>
      </c>
      <c r="D90" s="5">
        <f t="shared" si="15"/>
        <v>21.5</v>
      </c>
      <c r="E90" s="5">
        <f t="shared" si="15"/>
        <v>20.98</v>
      </c>
      <c r="F90" s="5">
        <f t="shared" si="15"/>
        <v>19.71</v>
      </c>
      <c r="G90" s="5">
        <f t="shared" si="15"/>
        <v>19.89</v>
      </c>
      <c r="H90" s="5">
        <f t="shared" si="15"/>
        <v>19.34</v>
      </c>
      <c r="I90" s="5">
        <f t="shared" si="15"/>
        <v>18.27</v>
      </c>
      <c r="J90" s="5">
        <f t="shared" si="15"/>
        <v>17.68</v>
      </c>
      <c r="K90" s="5">
        <f t="shared" si="15"/>
        <v>17.06</v>
      </c>
      <c r="L90" s="5">
        <f t="shared" si="15"/>
        <v>16.09</v>
      </c>
      <c r="M90" s="5">
        <f t="shared" si="15"/>
        <v>15.98</v>
      </c>
      <c r="N90" s="5">
        <f t="shared" si="15"/>
        <v>15.18</v>
      </c>
      <c r="O90" s="5">
        <f t="shared" si="15"/>
        <v>14.36</v>
      </c>
      <c r="P90" s="5">
        <f t="shared" si="15"/>
        <v>13.39</v>
      </c>
      <c r="Q90" s="5">
        <f t="shared" si="15"/>
        <v>11.5</v>
      </c>
      <c r="R90" s="5">
        <f t="shared" si="15"/>
        <v>8.94</v>
      </c>
      <c r="S90" s="5">
        <f t="shared" si="14"/>
        <v>8.13</v>
      </c>
      <c r="T90" s="5">
        <f t="shared" si="14"/>
        <v>6.36</v>
      </c>
      <c r="U90" s="5">
        <f t="shared" si="14"/>
        <v>4.58</v>
      </c>
      <c r="V90" s="5">
        <f t="shared" si="14"/>
        <v>4.25</v>
      </c>
      <c r="W90" s="5">
        <f t="shared" si="14"/>
        <v>3.25</v>
      </c>
      <c r="X90" s="5">
        <f t="shared" si="14"/>
        <v>2.75</v>
      </c>
      <c r="Y90" s="5">
        <f t="shared" si="14"/>
        <v>2.22</v>
      </c>
      <c r="Z90" s="5">
        <f t="shared" si="14"/>
        <v>2.14</v>
      </c>
      <c r="AA90" s="5">
        <f t="shared" si="14"/>
        <v>1.9</v>
      </c>
      <c r="AB90" s="5">
        <f t="shared" si="14"/>
        <v>1.55</v>
      </c>
      <c r="AC90" s="5">
        <f t="shared" si="14"/>
        <v>1.27</v>
      </c>
      <c r="AD90" s="5">
        <f t="shared" si="14"/>
        <v>1.22</v>
      </c>
      <c r="AE90" s="5">
        <f t="shared" si="14"/>
        <v>1.03</v>
      </c>
      <c r="AF90" s="5">
        <f t="shared" si="14"/>
        <v>0.91</v>
      </c>
      <c r="AG90" s="5">
        <f t="shared" si="14"/>
        <v>0.82</v>
      </c>
      <c r="AH90" s="5">
        <f t="shared" si="17"/>
        <v>0.48</v>
      </c>
      <c r="AI90" s="5">
        <f t="shared" si="17"/>
        <v>0.29</v>
      </c>
      <c r="AJ90" s="5">
        <f t="shared" si="17"/>
        <v>0.2</v>
      </c>
    </row>
    <row r="91" spans="1:36">
      <c r="A91" t="str">
        <f>"casthouse_procurement_archetype_"&amp;TEXT(ROUND(Table21319[[#This Row],[2016]],1),"0.0")</f>
        <v>casthouse_procurement_archetype_21.4</v>
      </c>
      <c r="B91" s="5">
        <f t="shared" si="13"/>
        <v>21.4</v>
      </c>
      <c r="C91" s="5">
        <f t="shared" si="15"/>
        <v>21.4</v>
      </c>
      <c r="D91" s="5">
        <f t="shared" si="15"/>
        <v>21.4</v>
      </c>
      <c r="E91" s="5">
        <f t="shared" si="15"/>
        <v>20.88</v>
      </c>
      <c r="F91" s="5">
        <f t="shared" si="15"/>
        <v>19.62</v>
      </c>
      <c r="G91" s="5">
        <f t="shared" si="15"/>
        <v>19.79</v>
      </c>
      <c r="H91" s="5">
        <f t="shared" si="15"/>
        <v>19.25</v>
      </c>
      <c r="I91" s="5">
        <f t="shared" si="15"/>
        <v>18.19</v>
      </c>
      <c r="J91" s="5">
        <f t="shared" si="15"/>
        <v>17.59</v>
      </c>
      <c r="K91" s="5">
        <f t="shared" si="15"/>
        <v>16.98</v>
      </c>
      <c r="L91" s="5">
        <f t="shared" si="15"/>
        <v>16.02</v>
      </c>
      <c r="M91" s="5">
        <f t="shared" si="15"/>
        <v>15.9</v>
      </c>
      <c r="N91" s="5">
        <f t="shared" si="15"/>
        <v>15.11</v>
      </c>
      <c r="O91" s="5">
        <f t="shared" si="15"/>
        <v>14.29</v>
      </c>
      <c r="P91" s="5">
        <f t="shared" si="15"/>
        <v>13.32</v>
      </c>
      <c r="Q91" s="5">
        <f t="shared" si="15"/>
        <v>11.44</v>
      </c>
      <c r="R91" s="5">
        <f t="shared" si="15"/>
        <v>8.9</v>
      </c>
      <c r="S91" s="5">
        <f t="shared" si="14"/>
        <v>8.09</v>
      </c>
      <c r="T91" s="5">
        <f t="shared" si="14"/>
        <v>6.33</v>
      </c>
      <c r="U91" s="5">
        <f t="shared" si="14"/>
        <v>4.56</v>
      </c>
      <c r="V91" s="5">
        <f t="shared" si="14"/>
        <v>4.23</v>
      </c>
      <c r="W91" s="5">
        <f t="shared" si="14"/>
        <v>3.24</v>
      </c>
      <c r="X91" s="5">
        <f t="shared" si="14"/>
        <v>2.74</v>
      </c>
      <c r="Y91" s="5">
        <f t="shared" si="14"/>
        <v>2.21</v>
      </c>
      <c r="Z91" s="5">
        <f t="shared" si="14"/>
        <v>2.13</v>
      </c>
      <c r="AA91" s="5">
        <f t="shared" si="14"/>
        <v>1.89</v>
      </c>
      <c r="AB91" s="5">
        <f t="shared" si="14"/>
        <v>1.55</v>
      </c>
      <c r="AC91" s="5">
        <f t="shared" si="14"/>
        <v>1.26</v>
      </c>
      <c r="AD91" s="5">
        <f t="shared" si="14"/>
        <v>1.21</v>
      </c>
      <c r="AE91" s="5">
        <f t="shared" si="14"/>
        <v>1.02</v>
      </c>
      <c r="AF91" s="5">
        <f t="shared" si="14"/>
        <v>0.9</v>
      </c>
      <c r="AG91" s="5">
        <f t="shared" si="14"/>
        <v>0.81</v>
      </c>
      <c r="AH91" s="5">
        <f t="shared" si="17"/>
        <v>0.48</v>
      </c>
      <c r="AI91" s="5">
        <f t="shared" si="17"/>
        <v>0.29</v>
      </c>
      <c r="AJ91" s="5">
        <f t="shared" si="17"/>
        <v>0.2</v>
      </c>
    </row>
    <row r="92" spans="1:36">
      <c r="A92" t="str">
        <f>"casthouse_procurement_archetype_"&amp;TEXT(ROUND(Table21319[[#This Row],[2016]],1),"0.0")</f>
        <v>casthouse_procurement_archetype_21.3</v>
      </c>
      <c r="B92" s="5">
        <f t="shared" si="13"/>
        <v>21.3</v>
      </c>
      <c r="C92" s="5">
        <f t="shared" si="15"/>
        <v>21.3</v>
      </c>
      <c r="D92" s="5">
        <f t="shared" si="15"/>
        <v>21.3</v>
      </c>
      <c r="E92" s="5">
        <f t="shared" si="15"/>
        <v>20.78</v>
      </c>
      <c r="F92" s="5">
        <f t="shared" si="15"/>
        <v>19.53</v>
      </c>
      <c r="G92" s="5">
        <f t="shared" si="15"/>
        <v>19.7</v>
      </c>
      <c r="H92" s="5">
        <f t="shared" si="15"/>
        <v>19.16</v>
      </c>
      <c r="I92" s="5">
        <f t="shared" si="15"/>
        <v>18.1</v>
      </c>
      <c r="J92" s="5">
        <f t="shared" si="15"/>
        <v>17.51</v>
      </c>
      <c r="K92" s="5">
        <f t="shared" si="15"/>
        <v>16.9</v>
      </c>
      <c r="L92" s="5">
        <f t="shared" si="15"/>
        <v>15.94</v>
      </c>
      <c r="M92" s="5">
        <f t="shared" si="15"/>
        <v>15.83</v>
      </c>
      <c r="N92" s="5">
        <f t="shared" si="15"/>
        <v>15.04</v>
      </c>
      <c r="O92" s="5">
        <f t="shared" si="15"/>
        <v>14.23</v>
      </c>
      <c r="P92" s="5">
        <f t="shared" si="15"/>
        <v>13.26</v>
      </c>
      <c r="Q92" s="5">
        <f t="shared" si="15"/>
        <v>11.39</v>
      </c>
      <c r="R92" s="5">
        <f t="shared" ref="R92:AG107" si="18">MROUND((($B92-$AJ$2)*((R$2-$AJ$2)/($B$2-$AJ$2)))+$AJ$2,0.01)</f>
        <v>8.86</v>
      </c>
      <c r="S92" s="5">
        <f t="shared" si="18"/>
        <v>8.06</v>
      </c>
      <c r="T92" s="5">
        <f t="shared" si="18"/>
        <v>6.3</v>
      </c>
      <c r="U92" s="5">
        <f t="shared" si="18"/>
        <v>4.54</v>
      </c>
      <c r="V92" s="5">
        <f t="shared" si="18"/>
        <v>4.21</v>
      </c>
      <c r="W92" s="5">
        <f t="shared" si="18"/>
        <v>3.23</v>
      </c>
      <c r="X92" s="5">
        <f t="shared" si="18"/>
        <v>2.72</v>
      </c>
      <c r="Y92" s="5">
        <f t="shared" si="18"/>
        <v>2.2</v>
      </c>
      <c r="Z92" s="5">
        <f t="shared" si="18"/>
        <v>2.12</v>
      </c>
      <c r="AA92" s="5">
        <f t="shared" si="18"/>
        <v>1.89</v>
      </c>
      <c r="AB92" s="5">
        <f t="shared" si="18"/>
        <v>1.54</v>
      </c>
      <c r="AC92" s="5">
        <f t="shared" si="18"/>
        <v>1.26</v>
      </c>
      <c r="AD92" s="5">
        <f t="shared" si="18"/>
        <v>1.21</v>
      </c>
      <c r="AE92" s="5">
        <f t="shared" si="18"/>
        <v>1.02</v>
      </c>
      <c r="AF92" s="5">
        <f t="shared" si="18"/>
        <v>0.9</v>
      </c>
      <c r="AG92" s="5">
        <f t="shared" si="18"/>
        <v>0.81</v>
      </c>
      <c r="AH92" s="5">
        <f t="shared" si="17"/>
        <v>0.48</v>
      </c>
      <c r="AI92" s="5">
        <f t="shared" si="17"/>
        <v>0.29</v>
      </c>
      <c r="AJ92" s="5">
        <f t="shared" si="17"/>
        <v>0.2</v>
      </c>
    </row>
    <row r="93" spans="1:36">
      <c r="A93" t="str">
        <f>"casthouse_procurement_archetype_"&amp;TEXT(ROUND(Table21319[[#This Row],[2016]],1),"0.0")</f>
        <v>casthouse_procurement_archetype_21.2</v>
      </c>
      <c r="B93" s="5">
        <f t="shared" si="13"/>
        <v>21.2</v>
      </c>
      <c r="C93" s="5">
        <f t="shared" ref="C93:R108" si="19">MROUND((($B93-$AJ$2)*((C$2-$AJ$2)/($B$2-$AJ$2)))+$AJ$2,0.01)</f>
        <v>21.2</v>
      </c>
      <c r="D93" s="5">
        <f t="shared" si="19"/>
        <v>21.2</v>
      </c>
      <c r="E93" s="5">
        <f t="shared" si="19"/>
        <v>20.68</v>
      </c>
      <c r="F93" s="5">
        <f t="shared" si="19"/>
        <v>19.43</v>
      </c>
      <c r="G93" s="5">
        <f t="shared" si="19"/>
        <v>19.61</v>
      </c>
      <c r="H93" s="5">
        <f t="shared" si="19"/>
        <v>19.07</v>
      </c>
      <c r="I93" s="5">
        <f t="shared" si="19"/>
        <v>18.02</v>
      </c>
      <c r="J93" s="5">
        <f t="shared" si="19"/>
        <v>17.43</v>
      </c>
      <c r="K93" s="5">
        <f t="shared" si="19"/>
        <v>16.83</v>
      </c>
      <c r="L93" s="5">
        <f t="shared" si="19"/>
        <v>15.87</v>
      </c>
      <c r="M93" s="5">
        <f t="shared" si="19"/>
        <v>15.75</v>
      </c>
      <c r="N93" s="5">
        <f t="shared" si="19"/>
        <v>14.97</v>
      </c>
      <c r="O93" s="5">
        <f t="shared" si="19"/>
        <v>14.16</v>
      </c>
      <c r="P93" s="5">
        <f t="shared" si="19"/>
        <v>13.2</v>
      </c>
      <c r="Q93" s="5">
        <f t="shared" si="19"/>
        <v>11.34</v>
      </c>
      <c r="R93" s="5">
        <f t="shared" si="19"/>
        <v>8.82</v>
      </c>
      <c r="S93" s="5">
        <f t="shared" si="18"/>
        <v>8.02</v>
      </c>
      <c r="T93" s="5">
        <f t="shared" si="18"/>
        <v>6.28</v>
      </c>
      <c r="U93" s="5">
        <f t="shared" si="18"/>
        <v>4.52</v>
      </c>
      <c r="V93" s="5">
        <f t="shared" si="18"/>
        <v>4.19</v>
      </c>
      <c r="W93" s="5">
        <f t="shared" si="18"/>
        <v>3.21</v>
      </c>
      <c r="X93" s="5">
        <f t="shared" si="18"/>
        <v>2.71</v>
      </c>
      <c r="Y93" s="5">
        <f t="shared" si="18"/>
        <v>2.19</v>
      </c>
      <c r="Z93" s="5">
        <f t="shared" si="18"/>
        <v>2.11</v>
      </c>
      <c r="AA93" s="5">
        <f t="shared" si="18"/>
        <v>1.88</v>
      </c>
      <c r="AB93" s="5">
        <f t="shared" si="18"/>
        <v>1.53</v>
      </c>
      <c r="AC93" s="5">
        <f t="shared" si="18"/>
        <v>1.25</v>
      </c>
      <c r="AD93" s="5">
        <f t="shared" si="18"/>
        <v>1.2</v>
      </c>
      <c r="AE93" s="5">
        <f t="shared" si="18"/>
        <v>1.01</v>
      </c>
      <c r="AF93" s="5">
        <f t="shared" si="18"/>
        <v>0.9</v>
      </c>
      <c r="AG93" s="5">
        <f t="shared" si="18"/>
        <v>0.81</v>
      </c>
      <c r="AH93" s="5">
        <f t="shared" si="17"/>
        <v>0.48</v>
      </c>
      <c r="AI93" s="5">
        <f t="shared" si="17"/>
        <v>0.29</v>
      </c>
      <c r="AJ93" s="5">
        <f t="shared" si="17"/>
        <v>0.2</v>
      </c>
    </row>
    <row r="94" spans="1:36">
      <c r="A94" t="str">
        <f>"casthouse_procurement_archetype_"&amp;TEXT(ROUND(Table21319[[#This Row],[2016]],1),"0.0")</f>
        <v>casthouse_procurement_archetype_21.1</v>
      </c>
      <c r="B94" s="5">
        <f t="shared" si="13"/>
        <v>21.1</v>
      </c>
      <c r="C94" s="5">
        <f t="shared" si="19"/>
        <v>21.1</v>
      </c>
      <c r="D94" s="5">
        <f t="shared" si="19"/>
        <v>21.1</v>
      </c>
      <c r="E94" s="5">
        <f t="shared" si="19"/>
        <v>20.59</v>
      </c>
      <c r="F94" s="5">
        <f t="shared" si="19"/>
        <v>19.34</v>
      </c>
      <c r="G94" s="5">
        <f t="shared" si="19"/>
        <v>19.52</v>
      </c>
      <c r="H94" s="5">
        <f t="shared" si="19"/>
        <v>18.98</v>
      </c>
      <c r="I94" s="5">
        <f t="shared" si="19"/>
        <v>17.93</v>
      </c>
      <c r="J94" s="5">
        <f t="shared" si="19"/>
        <v>17.35</v>
      </c>
      <c r="K94" s="5">
        <f t="shared" si="19"/>
        <v>16.75</v>
      </c>
      <c r="L94" s="5">
        <f t="shared" si="19"/>
        <v>15.8</v>
      </c>
      <c r="M94" s="5">
        <f t="shared" si="19"/>
        <v>15.68</v>
      </c>
      <c r="N94" s="5">
        <f t="shared" si="19"/>
        <v>14.9</v>
      </c>
      <c r="O94" s="5">
        <f t="shared" si="19"/>
        <v>14.09</v>
      </c>
      <c r="P94" s="5">
        <f t="shared" si="19"/>
        <v>13.14</v>
      </c>
      <c r="Q94" s="5">
        <f t="shared" si="19"/>
        <v>11.28</v>
      </c>
      <c r="R94" s="5">
        <f t="shared" si="19"/>
        <v>8.78</v>
      </c>
      <c r="S94" s="5">
        <f t="shared" si="18"/>
        <v>7.98</v>
      </c>
      <c r="T94" s="5">
        <f t="shared" si="18"/>
        <v>6.25</v>
      </c>
      <c r="U94" s="5">
        <f t="shared" si="18"/>
        <v>4.5</v>
      </c>
      <c r="V94" s="5">
        <f t="shared" si="18"/>
        <v>4.17</v>
      </c>
      <c r="W94" s="5">
        <f t="shared" si="18"/>
        <v>3.2</v>
      </c>
      <c r="X94" s="5">
        <f t="shared" si="18"/>
        <v>2.7</v>
      </c>
      <c r="Y94" s="5">
        <f t="shared" si="18"/>
        <v>2.19</v>
      </c>
      <c r="Z94" s="5">
        <f t="shared" si="18"/>
        <v>2.1</v>
      </c>
      <c r="AA94" s="5">
        <f t="shared" si="18"/>
        <v>1.87</v>
      </c>
      <c r="AB94" s="5">
        <f t="shared" si="18"/>
        <v>1.53</v>
      </c>
      <c r="AC94" s="5">
        <f t="shared" si="18"/>
        <v>1.25</v>
      </c>
      <c r="AD94" s="5">
        <f t="shared" si="18"/>
        <v>1.2</v>
      </c>
      <c r="AE94" s="5">
        <f t="shared" si="18"/>
        <v>1.01</v>
      </c>
      <c r="AF94" s="5">
        <f t="shared" si="18"/>
        <v>0.89</v>
      </c>
      <c r="AG94" s="5">
        <f t="shared" si="18"/>
        <v>0.8</v>
      </c>
      <c r="AH94" s="5">
        <f t="shared" si="17"/>
        <v>0.48</v>
      </c>
      <c r="AI94" s="5">
        <f t="shared" si="17"/>
        <v>0.29</v>
      </c>
      <c r="AJ94" s="5">
        <f t="shared" si="17"/>
        <v>0.2</v>
      </c>
    </row>
    <row r="95" spans="1:36">
      <c r="A95" t="str">
        <f>"casthouse_procurement_archetype_"&amp;TEXT(ROUND(Table21319[[#This Row],[2016]],1),"0.0")</f>
        <v>casthouse_procurement_archetype_21.0</v>
      </c>
      <c r="B95" s="5">
        <f t="shared" si="13"/>
        <v>21</v>
      </c>
      <c r="C95" s="5">
        <f t="shared" si="19"/>
        <v>21</v>
      </c>
      <c r="D95" s="5">
        <f t="shared" si="19"/>
        <v>21</v>
      </c>
      <c r="E95" s="5">
        <f t="shared" si="19"/>
        <v>20.49</v>
      </c>
      <c r="F95" s="5">
        <f t="shared" si="19"/>
        <v>19.25</v>
      </c>
      <c r="G95" s="5">
        <f t="shared" si="19"/>
        <v>19.42</v>
      </c>
      <c r="H95" s="5">
        <f t="shared" si="19"/>
        <v>18.89</v>
      </c>
      <c r="I95" s="5">
        <f t="shared" si="19"/>
        <v>17.85</v>
      </c>
      <c r="J95" s="5">
        <f t="shared" si="19"/>
        <v>17.27</v>
      </c>
      <c r="K95" s="5">
        <f t="shared" si="19"/>
        <v>16.67</v>
      </c>
      <c r="L95" s="5">
        <f t="shared" si="19"/>
        <v>15.72</v>
      </c>
      <c r="M95" s="5">
        <f t="shared" si="19"/>
        <v>15.61</v>
      </c>
      <c r="N95" s="5">
        <f t="shared" si="19"/>
        <v>14.83</v>
      </c>
      <c r="O95" s="5">
        <f t="shared" si="19"/>
        <v>14.03</v>
      </c>
      <c r="P95" s="5">
        <f t="shared" si="19"/>
        <v>13.08</v>
      </c>
      <c r="Q95" s="5">
        <f t="shared" si="19"/>
        <v>11.23</v>
      </c>
      <c r="R95" s="5">
        <f t="shared" si="19"/>
        <v>8.74</v>
      </c>
      <c r="S95" s="5">
        <f t="shared" si="18"/>
        <v>7.94</v>
      </c>
      <c r="T95" s="5">
        <f t="shared" si="18"/>
        <v>6.22</v>
      </c>
      <c r="U95" s="5">
        <f t="shared" si="18"/>
        <v>4.48</v>
      </c>
      <c r="V95" s="5">
        <f t="shared" si="18"/>
        <v>4.15</v>
      </c>
      <c r="W95" s="5">
        <f t="shared" si="18"/>
        <v>3.18</v>
      </c>
      <c r="X95" s="5">
        <f t="shared" si="18"/>
        <v>2.69</v>
      </c>
      <c r="Y95" s="5">
        <f t="shared" si="18"/>
        <v>2.18</v>
      </c>
      <c r="Z95" s="5">
        <f t="shared" si="18"/>
        <v>2.1</v>
      </c>
      <c r="AA95" s="5">
        <f t="shared" si="18"/>
        <v>1.86</v>
      </c>
      <c r="AB95" s="5">
        <f t="shared" si="18"/>
        <v>1.52</v>
      </c>
      <c r="AC95" s="5">
        <f t="shared" si="18"/>
        <v>1.24</v>
      </c>
      <c r="AD95" s="5">
        <f t="shared" si="18"/>
        <v>1.19</v>
      </c>
      <c r="AE95" s="5">
        <f t="shared" si="18"/>
        <v>1.01</v>
      </c>
      <c r="AF95" s="5">
        <f t="shared" si="18"/>
        <v>0.89</v>
      </c>
      <c r="AG95" s="5">
        <f t="shared" si="18"/>
        <v>0.8</v>
      </c>
      <c r="AH95" s="5">
        <f t="shared" si="17"/>
        <v>0.47</v>
      </c>
      <c r="AI95" s="5">
        <f t="shared" si="17"/>
        <v>0.29</v>
      </c>
      <c r="AJ95" s="5">
        <f t="shared" si="17"/>
        <v>0.2</v>
      </c>
    </row>
    <row r="96" spans="1:36">
      <c r="A96" t="str">
        <f>"casthouse_procurement_archetype_"&amp;TEXT(ROUND(Table21319[[#This Row],[2016]],1),"0.0")</f>
        <v>casthouse_procurement_archetype_20.9</v>
      </c>
      <c r="B96" s="5">
        <f t="shared" si="13"/>
        <v>20.9</v>
      </c>
      <c r="C96" s="5">
        <f t="shared" si="19"/>
        <v>20.9</v>
      </c>
      <c r="D96" s="5">
        <f t="shared" si="19"/>
        <v>20.9</v>
      </c>
      <c r="E96" s="5">
        <f t="shared" si="19"/>
        <v>20.39</v>
      </c>
      <c r="F96" s="5">
        <f t="shared" si="19"/>
        <v>19.16</v>
      </c>
      <c r="G96" s="5">
        <f t="shared" si="19"/>
        <v>19.33</v>
      </c>
      <c r="H96" s="5">
        <f t="shared" si="19"/>
        <v>18.8</v>
      </c>
      <c r="I96" s="5">
        <f t="shared" si="19"/>
        <v>17.76</v>
      </c>
      <c r="J96" s="5">
        <f t="shared" si="19"/>
        <v>17.18</v>
      </c>
      <c r="K96" s="5">
        <f t="shared" si="19"/>
        <v>16.59</v>
      </c>
      <c r="L96" s="5">
        <f t="shared" si="19"/>
        <v>15.65</v>
      </c>
      <c r="M96" s="5">
        <f t="shared" si="19"/>
        <v>15.53</v>
      </c>
      <c r="N96" s="5">
        <f t="shared" si="19"/>
        <v>14.76</v>
      </c>
      <c r="O96" s="5">
        <f t="shared" si="19"/>
        <v>13.96</v>
      </c>
      <c r="P96" s="5">
        <f t="shared" si="19"/>
        <v>13.02</v>
      </c>
      <c r="Q96" s="5">
        <f t="shared" si="19"/>
        <v>11.18</v>
      </c>
      <c r="R96" s="5">
        <f t="shared" si="19"/>
        <v>8.7</v>
      </c>
      <c r="S96" s="5">
        <f t="shared" si="18"/>
        <v>7.91</v>
      </c>
      <c r="T96" s="5">
        <f t="shared" si="18"/>
        <v>6.19</v>
      </c>
      <c r="U96" s="5">
        <f t="shared" si="18"/>
        <v>4.46</v>
      </c>
      <c r="V96" s="5">
        <f t="shared" si="18"/>
        <v>4.14</v>
      </c>
      <c r="W96" s="5">
        <f t="shared" si="18"/>
        <v>3.17</v>
      </c>
      <c r="X96" s="5">
        <f t="shared" si="18"/>
        <v>2.68</v>
      </c>
      <c r="Y96" s="5">
        <f t="shared" si="18"/>
        <v>2.17</v>
      </c>
      <c r="Z96" s="5">
        <f t="shared" si="18"/>
        <v>2.09</v>
      </c>
      <c r="AA96" s="5">
        <f t="shared" si="18"/>
        <v>1.85</v>
      </c>
      <c r="AB96" s="5">
        <f t="shared" si="18"/>
        <v>1.51</v>
      </c>
      <c r="AC96" s="5">
        <f t="shared" si="18"/>
        <v>1.24</v>
      </c>
      <c r="AD96" s="5">
        <f t="shared" si="18"/>
        <v>1.19</v>
      </c>
      <c r="AE96" s="5">
        <f t="shared" si="18"/>
        <v>1</v>
      </c>
      <c r="AF96" s="5">
        <f t="shared" si="18"/>
        <v>0.89</v>
      </c>
      <c r="AG96" s="5">
        <f t="shared" si="18"/>
        <v>0.8</v>
      </c>
      <c r="AH96" s="5">
        <f t="shared" si="17"/>
        <v>0.47</v>
      </c>
      <c r="AI96" s="5">
        <f t="shared" si="17"/>
        <v>0.29</v>
      </c>
      <c r="AJ96" s="5">
        <f t="shared" si="17"/>
        <v>0.2</v>
      </c>
    </row>
    <row r="97" spans="1:36">
      <c r="A97" t="str">
        <f>"casthouse_procurement_archetype_"&amp;TEXT(ROUND(Table21319[[#This Row],[2016]],1),"0.0")</f>
        <v>casthouse_procurement_archetype_20.8</v>
      </c>
      <c r="B97" s="5">
        <f t="shared" si="13"/>
        <v>20.8</v>
      </c>
      <c r="C97" s="5">
        <f t="shared" si="19"/>
        <v>20.8</v>
      </c>
      <c r="D97" s="5">
        <f t="shared" si="19"/>
        <v>20.8</v>
      </c>
      <c r="E97" s="5">
        <f t="shared" si="19"/>
        <v>20.29</v>
      </c>
      <c r="F97" s="5">
        <f t="shared" si="19"/>
        <v>19.07</v>
      </c>
      <c r="G97" s="5">
        <f t="shared" si="19"/>
        <v>19.24</v>
      </c>
      <c r="H97" s="5">
        <f t="shared" si="19"/>
        <v>18.71</v>
      </c>
      <c r="I97" s="5">
        <f t="shared" si="19"/>
        <v>17.68</v>
      </c>
      <c r="J97" s="5">
        <f t="shared" si="19"/>
        <v>17.1</v>
      </c>
      <c r="K97" s="5">
        <f t="shared" si="19"/>
        <v>16.51</v>
      </c>
      <c r="L97" s="5">
        <f t="shared" si="19"/>
        <v>15.57</v>
      </c>
      <c r="M97" s="5">
        <f t="shared" si="19"/>
        <v>15.46</v>
      </c>
      <c r="N97" s="5">
        <f t="shared" si="19"/>
        <v>14.69</v>
      </c>
      <c r="O97" s="5">
        <f t="shared" si="19"/>
        <v>13.89</v>
      </c>
      <c r="P97" s="5">
        <f t="shared" si="19"/>
        <v>12.95</v>
      </c>
      <c r="Q97" s="5">
        <f t="shared" si="19"/>
        <v>11.12</v>
      </c>
      <c r="R97" s="5">
        <f t="shared" si="19"/>
        <v>8.66</v>
      </c>
      <c r="S97" s="5">
        <f t="shared" si="18"/>
        <v>7.87</v>
      </c>
      <c r="T97" s="5">
        <f t="shared" si="18"/>
        <v>6.16</v>
      </c>
      <c r="U97" s="5">
        <f t="shared" si="18"/>
        <v>4.44</v>
      </c>
      <c r="V97" s="5">
        <f t="shared" si="18"/>
        <v>4.12</v>
      </c>
      <c r="W97" s="5">
        <f t="shared" si="18"/>
        <v>3.15</v>
      </c>
      <c r="X97" s="5">
        <f t="shared" si="18"/>
        <v>2.66</v>
      </c>
      <c r="Y97" s="5">
        <f t="shared" si="18"/>
        <v>2.16</v>
      </c>
      <c r="Z97" s="5">
        <f t="shared" si="18"/>
        <v>2.08</v>
      </c>
      <c r="AA97" s="5">
        <f t="shared" si="18"/>
        <v>1.85</v>
      </c>
      <c r="AB97" s="5">
        <f t="shared" si="18"/>
        <v>1.51</v>
      </c>
      <c r="AC97" s="5">
        <f t="shared" si="18"/>
        <v>1.23</v>
      </c>
      <c r="AD97" s="5">
        <f t="shared" si="18"/>
        <v>1.19</v>
      </c>
      <c r="AE97" s="5">
        <f t="shared" si="18"/>
        <v>1</v>
      </c>
      <c r="AF97" s="5">
        <f t="shared" si="18"/>
        <v>0.88</v>
      </c>
      <c r="AG97" s="5">
        <f t="shared" si="18"/>
        <v>0.8</v>
      </c>
      <c r="AH97" s="5">
        <f t="shared" si="17"/>
        <v>0.47</v>
      </c>
      <c r="AI97" s="5">
        <f t="shared" si="17"/>
        <v>0.29</v>
      </c>
      <c r="AJ97" s="5">
        <f t="shared" si="17"/>
        <v>0.2</v>
      </c>
    </row>
    <row r="98" spans="1:36">
      <c r="A98" t="str">
        <f>"casthouse_procurement_archetype_"&amp;TEXT(ROUND(Table21319[[#This Row],[2016]],1),"0.0")</f>
        <v>casthouse_procurement_archetype_20.7</v>
      </c>
      <c r="B98" s="5">
        <f t="shared" si="13"/>
        <v>20.7</v>
      </c>
      <c r="C98" s="5">
        <f t="shared" si="19"/>
        <v>20.7</v>
      </c>
      <c r="D98" s="5">
        <f t="shared" si="19"/>
        <v>20.7</v>
      </c>
      <c r="E98" s="5">
        <f t="shared" si="19"/>
        <v>20.2</v>
      </c>
      <c r="F98" s="5">
        <f t="shared" si="19"/>
        <v>18.98</v>
      </c>
      <c r="G98" s="5">
        <f t="shared" si="19"/>
        <v>19.15</v>
      </c>
      <c r="H98" s="5">
        <f t="shared" si="19"/>
        <v>18.62</v>
      </c>
      <c r="I98" s="5">
        <f t="shared" si="19"/>
        <v>17.59</v>
      </c>
      <c r="J98" s="5">
        <f t="shared" si="19"/>
        <v>17.02</v>
      </c>
      <c r="K98" s="5">
        <f t="shared" si="19"/>
        <v>16.43</v>
      </c>
      <c r="L98" s="5">
        <f t="shared" si="19"/>
        <v>15.5</v>
      </c>
      <c r="M98" s="5">
        <f t="shared" si="19"/>
        <v>15.38</v>
      </c>
      <c r="N98" s="5">
        <f t="shared" si="19"/>
        <v>14.62</v>
      </c>
      <c r="O98" s="5">
        <f t="shared" si="19"/>
        <v>13.83</v>
      </c>
      <c r="P98" s="5">
        <f t="shared" si="19"/>
        <v>12.89</v>
      </c>
      <c r="Q98" s="5">
        <f t="shared" si="19"/>
        <v>11.07</v>
      </c>
      <c r="R98" s="5">
        <f t="shared" si="19"/>
        <v>8.62</v>
      </c>
      <c r="S98" s="5">
        <f t="shared" si="18"/>
        <v>7.83</v>
      </c>
      <c r="T98" s="5">
        <f t="shared" si="18"/>
        <v>6.13</v>
      </c>
      <c r="U98" s="5">
        <f t="shared" si="18"/>
        <v>4.42</v>
      </c>
      <c r="V98" s="5">
        <f t="shared" si="18"/>
        <v>4.1</v>
      </c>
      <c r="W98" s="5">
        <f t="shared" si="18"/>
        <v>3.14</v>
      </c>
      <c r="X98" s="5">
        <f t="shared" si="18"/>
        <v>2.65</v>
      </c>
      <c r="Y98" s="5">
        <f t="shared" si="18"/>
        <v>2.15</v>
      </c>
      <c r="Z98" s="5">
        <f t="shared" si="18"/>
        <v>2.07</v>
      </c>
      <c r="AA98" s="5">
        <f t="shared" si="18"/>
        <v>1.84</v>
      </c>
      <c r="AB98" s="5">
        <f t="shared" si="18"/>
        <v>1.5</v>
      </c>
      <c r="AC98" s="5">
        <f t="shared" si="18"/>
        <v>1.23</v>
      </c>
      <c r="AD98" s="5">
        <f t="shared" si="18"/>
        <v>1.18</v>
      </c>
      <c r="AE98" s="5">
        <f t="shared" si="18"/>
        <v>0.99</v>
      </c>
      <c r="AF98" s="5">
        <f t="shared" si="18"/>
        <v>0.88</v>
      </c>
      <c r="AG98" s="5">
        <f t="shared" si="18"/>
        <v>0.79</v>
      </c>
      <c r="AH98" s="5">
        <f t="shared" si="17"/>
        <v>0.47</v>
      </c>
      <c r="AI98" s="5">
        <f t="shared" si="17"/>
        <v>0.29</v>
      </c>
      <c r="AJ98" s="5">
        <f t="shared" si="17"/>
        <v>0.2</v>
      </c>
    </row>
    <row r="99" spans="1:36">
      <c r="A99" t="str">
        <f>"casthouse_procurement_archetype_"&amp;TEXT(ROUND(Table21319[[#This Row],[2016]],1),"0.0")</f>
        <v>casthouse_procurement_archetype_20.6</v>
      </c>
      <c r="B99" s="5">
        <f t="shared" si="13"/>
        <v>20.6</v>
      </c>
      <c r="C99" s="5">
        <f t="shared" si="19"/>
        <v>20.6</v>
      </c>
      <c r="D99" s="5">
        <f t="shared" si="19"/>
        <v>20.6</v>
      </c>
      <c r="E99" s="5">
        <f t="shared" si="19"/>
        <v>20.1</v>
      </c>
      <c r="F99" s="5">
        <f t="shared" si="19"/>
        <v>18.89</v>
      </c>
      <c r="G99" s="5">
        <f t="shared" si="19"/>
        <v>19.05</v>
      </c>
      <c r="H99" s="5">
        <f t="shared" si="19"/>
        <v>18.53</v>
      </c>
      <c r="I99" s="5">
        <f t="shared" si="19"/>
        <v>17.51</v>
      </c>
      <c r="J99" s="5">
        <f t="shared" si="19"/>
        <v>16.94</v>
      </c>
      <c r="K99" s="5">
        <f t="shared" si="19"/>
        <v>16.35</v>
      </c>
      <c r="L99" s="5">
        <f t="shared" si="19"/>
        <v>15.42</v>
      </c>
      <c r="M99" s="5">
        <f t="shared" si="19"/>
        <v>15.31</v>
      </c>
      <c r="N99" s="5">
        <f t="shared" si="19"/>
        <v>14.55</v>
      </c>
      <c r="O99" s="5">
        <f t="shared" si="19"/>
        <v>13.76</v>
      </c>
      <c r="P99" s="5">
        <f t="shared" si="19"/>
        <v>12.83</v>
      </c>
      <c r="Q99" s="5">
        <f t="shared" si="19"/>
        <v>11.02</v>
      </c>
      <c r="R99" s="5">
        <f t="shared" si="19"/>
        <v>8.57</v>
      </c>
      <c r="S99" s="5">
        <f t="shared" si="18"/>
        <v>7.8</v>
      </c>
      <c r="T99" s="5">
        <f t="shared" si="18"/>
        <v>6.1</v>
      </c>
      <c r="U99" s="5">
        <f t="shared" si="18"/>
        <v>4.39</v>
      </c>
      <c r="V99" s="5">
        <f t="shared" si="18"/>
        <v>4.08</v>
      </c>
      <c r="W99" s="5">
        <f t="shared" si="18"/>
        <v>3.13</v>
      </c>
      <c r="X99" s="5">
        <f t="shared" si="18"/>
        <v>2.64</v>
      </c>
      <c r="Y99" s="5">
        <f t="shared" si="18"/>
        <v>2.14</v>
      </c>
      <c r="Z99" s="5">
        <f t="shared" si="18"/>
        <v>2.06</v>
      </c>
      <c r="AA99" s="5">
        <f t="shared" si="18"/>
        <v>1.83</v>
      </c>
      <c r="AB99" s="5">
        <f t="shared" si="18"/>
        <v>1.5</v>
      </c>
      <c r="AC99" s="5">
        <f t="shared" si="18"/>
        <v>1.22</v>
      </c>
      <c r="AD99" s="5">
        <f t="shared" si="18"/>
        <v>1.18</v>
      </c>
      <c r="AE99" s="5">
        <f t="shared" si="18"/>
        <v>0.99</v>
      </c>
      <c r="AF99" s="5">
        <f t="shared" si="18"/>
        <v>0.88</v>
      </c>
      <c r="AG99" s="5">
        <f t="shared" si="18"/>
        <v>0.79</v>
      </c>
      <c r="AH99" s="5">
        <f t="shared" si="17"/>
        <v>0.47</v>
      </c>
      <c r="AI99" s="5">
        <f t="shared" si="17"/>
        <v>0.29</v>
      </c>
      <c r="AJ99" s="5">
        <f t="shared" si="17"/>
        <v>0.2</v>
      </c>
    </row>
    <row r="100" spans="1:36">
      <c r="A100" t="str">
        <f>"casthouse_procurement_archetype_"&amp;TEXT(ROUND(Table21319[[#This Row],[2016]],1),"0.0")</f>
        <v>casthouse_procurement_archetype_20.5</v>
      </c>
      <c r="B100" s="5">
        <f t="shared" si="13"/>
        <v>20.5</v>
      </c>
      <c r="C100" s="5">
        <f t="shared" si="19"/>
        <v>20.5</v>
      </c>
      <c r="D100" s="5">
        <f t="shared" si="19"/>
        <v>20.5</v>
      </c>
      <c r="E100" s="5">
        <f t="shared" si="19"/>
        <v>20</v>
      </c>
      <c r="F100" s="5">
        <f t="shared" si="19"/>
        <v>18.79</v>
      </c>
      <c r="G100" s="5">
        <f t="shared" si="19"/>
        <v>18.96</v>
      </c>
      <c r="H100" s="5">
        <f t="shared" si="19"/>
        <v>18.44</v>
      </c>
      <c r="I100" s="5">
        <f t="shared" si="19"/>
        <v>17.42</v>
      </c>
      <c r="J100" s="5">
        <f t="shared" si="19"/>
        <v>16.86</v>
      </c>
      <c r="K100" s="5">
        <f t="shared" si="19"/>
        <v>16.27</v>
      </c>
      <c r="L100" s="5">
        <f t="shared" si="19"/>
        <v>15.35</v>
      </c>
      <c r="M100" s="5">
        <f t="shared" si="19"/>
        <v>15.24</v>
      </c>
      <c r="N100" s="5">
        <f t="shared" si="19"/>
        <v>14.48</v>
      </c>
      <c r="O100" s="5">
        <f t="shared" si="19"/>
        <v>13.69</v>
      </c>
      <c r="P100" s="5">
        <f t="shared" si="19"/>
        <v>12.77</v>
      </c>
      <c r="Q100" s="5">
        <f t="shared" si="19"/>
        <v>10.97</v>
      </c>
      <c r="R100" s="5">
        <f t="shared" si="19"/>
        <v>8.53</v>
      </c>
      <c r="S100" s="5">
        <f t="shared" si="18"/>
        <v>7.76</v>
      </c>
      <c r="T100" s="5">
        <f t="shared" si="18"/>
        <v>6.07</v>
      </c>
      <c r="U100" s="5">
        <f t="shared" si="18"/>
        <v>4.37</v>
      </c>
      <c r="V100" s="5">
        <f t="shared" si="18"/>
        <v>4.06</v>
      </c>
      <c r="W100" s="5">
        <f t="shared" si="18"/>
        <v>3.11</v>
      </c>
      <c r="X100" s="5">
        <f t="shared" si="18"/>
        <v>2.63</v>
      </c>
      <c r="Y100" s="5">
        <f t="shared" si="18"/>
        <v>2.13</v>
      </c>
      <c r="Z100" s="5">
        <f t="shared" si="18"/>
        <v>2.05</v>
      </c>
      <c r="AA100" s="5">
        <f t="shared" si="18"/>
        <v>1.82</v>
      </c>
      <c r="AB100" s="5">
        <f t="shared" si="18"/>
        <v>1.49</v>
      </c>
      <c r="AC100" s="5">
        <f t="shared" si="18"/>
        <v>1.22</v>
      </c>
      <c r="AD100" s="5">
        <f t="shared" si="18"/>
        <v>1.17</v>
      </c>
      <c r="AE100" s="5">
        <f t="shared" si="18"/>
        <v>0.99</v>
      </c>
      <c r="AF100" s="5">
        <f t="shared" si="18"/>
        <v>0.87</v>
      </c>
      <c r="AG100" s="5">
        <f t="shared" si="18"/>
        <v>0.79</v>
      </c>
      <c r="AH100" s="5">
        <f t="shared" si="17"/>
        <v>0.47</v>
      </c>
      <c r="AI100" s="5">
        <f t="shared" si="17"/>
        <v>0.29</v>
      </c>
      <c r="AJ100" s="5">
        <f t="shared" si="17"/>
        <v>0.2</v>
      </c>
    </row>
    <row r="101" spans="1:36">
      <c r="A101" t="str">
        <f>"casthouse_procurement_archetype_"&amp;TEXT(ROUND(Table21319[[#This Row],[2016]],1),"0.0")</f>
        <v>casthouse_procurement_archetype_20.4</v>
      </c>
      <c r="B101" s="5">
        <f t="shared" si="13"/>
        <v>20.4</v>
      </c>
      <c r="C101" s="5">
        <f t="shared" si="19"/>
        <v>20.4</v>
      </c>
      <c r="D101" s="5">
        <f t="shared" si="19"/>
        <v>20.4</v>
      </c>
      <c r="E101" s="5">
        <f t="shared" si="19"/>
        <v>19.9</v>
      </c>
      <c r="F101" s="5">
        <f t="shared" si="19"/>
        <v>18.7</v>
      </c>
      <c r="G101" s="5">
        <f t="shared" si="19"/>
        <v>18.87</v>
      </c>
      <c r="H101" s="5">
        <f t="shared" si="19"/>
        <v>18.35</v>
      </c>
      <c r="I101" s="5">
        <f t="shared" si="19"/>
        <v>17.34</v>
      </c>
      <c r="J101" s="5">
        <f t="shared" si="19"/>
        <v>16.77</v>
      </c>
      <c r="K101" s="5">
        <f t="shared" si="19"/>
        <v>16.19</v>
      </c>
      <c r="L101" s="5">
        <f t="shared" si="19"/>
        <v>15.27</v>
      </c>
      <c r="M101" s="5">
        <f t="shared" si="19"/>
        <v>15.16</v>
      </c>
      <c r="N101" s="5">
        <f t="shared" si="19"/>
        <v>14.41</v>
      </c>
      <c r="O101" s="5">
        <f t="shared" si="19"/>
        <v>13.63</v>
      </c>
      <c r="P101" s="5">
        <f t="shared" si="19"/>
        <v>12.71</v>
      </c>
      <c r="Q101" s="5">
        <f t="shared" si="19"/>
        <v>10.91</v>
      </c>
      <c r="R101" s="5">
        <f t="shared" si="19"/>
        <v>8.49</v>
      </c>
      <c r="S101" s="5">
        <f t="shared" si="18"/>
        <v>7.72</v>
      </c>
      <c r="T101" s="5">
        <f t="shared" si="18"/>
        <v>6.04</v>
      </c>
      <c r="U101" s="5">
        <f t="shared" si="18"/>
        <v>4.35</v>
      </c>
      <c r="V101" s="5">
        <f t="shared" si="18"/>
        <v>4.04</v>
      </c>
      <c r="W101" s="5">
        <f t="shared" si="18"/>
        <v>3.1</v>
      </c>
      <c r="X101" s="5">
        <f t="shared" si="18"/>
        <v>2.62</v>
      </c>
      <c r="Y101" s="5">
        <f t="shared" si="18"/>
        <v>2.12</v>
      </c>
      <c r="Z101" s="5">
        <f t="shared" si="18"/>
        <v>2.04</v>
      </c>
      <c r="AA101" s="5">
        <f t="shared" si="18"/>
        <v>1.81</v>
      </c>
      <c r="AB101" s="5">
        <f t="shared" si="18"/>
        <v>1.48</v>
      </c>
      <c r="AC101" s="5">
        <f t="shared" si="18"/>
        <v>1.21</v>
      </c>
      <c r="AD101" s="5">
        <f t="shared" si="18"/>
        <v>1.17</v>
      </c>
      <c r="AE101" s="5">
        <f t="shared" si="18"/>
        <v>0.98</v>
      </c>
      <c r="AF101" s="5">
        <f t="shared" si="18"/>
        <v>0.87</v>
      </c>
      <c r="AG101" s="5">
        <f t="shared" si="18"/>
        <v>0.78</v>
      </c>
      <c r="AH101" s="5">
        <f t="shared" si="17"/>
        <v>0.47</v>
      </c>
      <c r="AI101" s="5">
        <f t="shared" si="17"/>
        <v>0.29</v>
      </c>
      <c r="AJ101" s="5">
        <f t="shared" si="17"/>
        <v>0.2</v>
      </c>
    </row>
    <row r="102" spans="1:36">
      <c r="A102" t="str">
        <f>"casthouse_procurement_archetype_"&amp;TEXT(ROUND(Table21319[[#This Row],[2016]],1),"0.0")</f>
        <v>casthouse_procurement_archetype_20.3</v>
      </c>
      <c r="B102" s="5">
        <f t="shared" si="13"/>
        <v>20.3</v>
      </c>
      <c r="C102" s="5">
        <f t="shared" si="19"/>
        <v>20.3</v>
      </c>
      <c r="D102" s="5">
        <f t="shared" si="19"/>
        <v>20.3</v>
      </c>
      <c r="E102" s="5">
        <f t="shared" si="19"/>
        <v>19.81</v>
      </c>
      <c r="F102" s="5">
        <f t="shared" si="19"/>
        <v>18.61</v>
      </c>
      <c r="G102" s="5">
        <f t="shared" si="19"/>
        <v>18.78</v>
      </c>
      <c r="H102" s="5">
        <f t="shared" si="19"/>
        <v>18.26</v>
      </c>
      <c r="I102" s="5">
        <f t="shared" si="19"/>
        <v>17.26</v>
      </c>
      <c r="J102" s="5">
        <f t="shared" si="19"/>
        <v>16.69</v>
      </c>
      <c r="K102" s="5">
        <f t="shared" si="19"/>
        <v>16.11</v>
      </c>
      <c r="L102" s="5">
        <f t="shared" si="19"/>
        <v>15.2</v>
      </c>
      <c r="M102" s="5">
        <f t="shared" si="19"/>
        <v>15.09</v>
      </c>
      <c r="N102" s="5">
        <f t="shared" si="19"/>
        <v>14.34</v>
      </c>
      <c r="O102" s="5">
        <f t="shared" si="19"/>
        <v>13.56</v>
      </c>
      <c r="P102" s="5">
        <f t="shared" si="19"/>
        <v>12.64</v>
      </c>
      <c r="Q102" s="5">
        <f t="shared" si="19"/>
        <v>10.86</v>
      </c>
      <c r="R102" s="5">
        <f t="shared" si="19"/>
        <v>8.45</v>
      </c>
      <c r="S102" s="5">
        <f t="shared" si="18"/>
        <v>7.68</v>
      </c>
      <c r="T102" s="5">
        <f t="shared" si="18"/>
        <v>6.02</v>
      </c>
      <c r="U102" s="5">
        <f t="shared" si="18"/>
        <v>4.33</v>
      </c>
      <c r="V102" s="5">
        <f t="shared" si="18"/>
        <v>4.02</v>
      </c>
      <c r="W102" s="5">
        <f t="shared" si="18"/>
        <v>3.08</v>
      </c>
      <c r="X102" s="5">
        <f t="shared" si="18"/>
        <v>2.61</v>
      </c>
      <c r="Y102" s="5">
        <f t="shared" si="18"/>
        <v>2.11</v>
      </c>
      <c r="Z102" s="5">
        <f t="shared" si="18"/>
        <v>2.03</v>
      </c>
      <c r="AA102" s="5">
        <f t="shared" si="18"/>
        <v>1.81</v>
      </c>
      <c r="AB102" s="5">
        <f t="shared" si="18"/>
        <v>1.48</v>
      </c>
      <c r="AC102" s="5">
        <f t="shared" si="18"/>
        <v>1.21</v>
      </c>
      <c r="AD102" s="5">
        <f t="shared" si="18"/>
        <v>1.16</v>
      </c>
      <c r="AE102" s="5">
        <f t="shared" si="18"/>
        <v>0.98</v>
      </c>
      <c r="AF102" s="5">
        <f t="shared" si="18"/>
        <v>0.87</v>
      </c>
      <c r="AG102" s="5">
        <f t="shared" si="18"/>
        <v>0.78</v>
      </c>
      <c r="AH102" s="5">
        <f t="shared" si="17"/>
        <v>0.46</v>
      </c>
      <c r="AI102" s="5">
        <f t="shared" si="17"/>
        <v>0.29</v>
      </c>
      <c r="AJ102" s="5">
        <f t="shared" si="17"/>
        <v>0.2</v>
      </c>
    </row>
    <row r="103" spans="1:36">
      <c r="A103" t="str">
        <f>"casthouse_procurement_archetype_"&amp;TEXT(ROUND(Table21319[[#This Row],[2016]],1),"0.0")</f>
        <v>casthouse_procurement_archetype_20.2</v>
      </c>
      <c r="B103" s="5">
        <f t="shared" si="13"/>
        <v>20.2</v>
      </c>
      <c r="C103" s="5">
        <f t="shared" si="19"/>
        <v>20.2</v>
      </c>
      <c r="D103" s="5">
        <f t="shared" si="19"/>
        <v>20.2</v>
      </c>
      <c r="E103" s="5">
        <f t="shared" si="19"/>
        <v>19.71</v>
      </c>
      <c r="F103" s="5">
        <f t="shared" si="19"/>
        <v>18.52</v>
      </c>
      <c r="G103" s="5">
        <f t="shared" si="19"/>
        <v>18.69</v>
      </c>
      <c r="H103" s="5">
        <f t="shared" si="19"/>
        <v>18.17</v>
      </c>
      <c r="I103" s="5">
        <f t="shared" si="19"/>
        <v>17.17</v>
      </c>
      <c r="J103" s="5">
        <f t="shared" si="19"/>
        <v>16.61</v>
      </c>
      <c r="K103" s="5">
        <f t="shared" si="19"/>
        <v>16.03</v>
      </c>
      <c r="L103" s="5">
        <f t="shared" si="19"/>
        <v>15.12</v>
      </c>
      <c r="M103" s="5">
        <f t="shared" si="19"/>
        <v>15.01</v>
      </c>
      <c r="N103" s="5">
        <f t="shared" si="19"/>
        <v>14.27</v>
      </c>
      <c r="O103" s="5">
        <f t="shared" si="19"/>
        <v>13.5</v>
      </c>
      <c r="P103" s="5">
        <f t="shared" si="19"/>
        <v>12.58</v>
      </c>
      <c r="Q103" s="5">
        <f t="shared" si="19"/>
        <v>10.81</v>
      </c>
      <c r="R103" s="5">
        <f t="shared" si="19"/>
        <v>8.41</v>
      </c>
      <c r="S103" s="5">
        <f t="shared" si="18"/>
        <v>7.65</v>
      </c>
      <c r="T103" s="5">
        <f t="shared" si="18"/>
        <v>5.99</v>
      </c>
      <c r="U103" s="5">
        <f t="shared" si="18"/>
        <v>4.31</v>
      </c>
      <c r="V103" s="5">
        <f t="shared" si="18"/>
        <v>4</v>
      </c>
      <c r="W103" s="5">
        <f t="shared" si="18"/>
        <v>3.07</v>
      </c>
      <c r="X103" s="5">
        <f t="shared" si="18"/>
        <v>2.59</v>
      </c>
      <c r="Y103" s="5">
        <f t="shared" si="18"/>
        <v>2.1</v>
      </c>
      <c r="Z103" s="5">
        <f t="shared" si="18"/>
        <v>2.02</v>
      </c>
      <c r="AA103" s="5">
        <f t="shared" si="18"/>
        <v>1.8</v>
      </c>
      <c r="AB103" s="5">
        <f t="shared" si="18"/>
        <v>1.47</v>
      </c>
      <c r="AC103" s="5">
        <f t="shared" si="18"/>
        <v>1.2</v>
      </c>
      <c r="AD103" s="5">
        <f t="shared" si="18"/>
        <v>1.16</v>
      </c>
      <c r="AE103" s="5">
        <f t="shared" si="18"/>
        <v>0.98</v>
      </c>
      <c r="AF103" s="5">
        <f t="shared" si="18"/>
        <v>0.86</v>
      </c>
      <c r="AG103" s="5">
        <f t="shared" si="18"/>
        <v>0.78</v>
      </c>
      <c r="AH103" s="5">
        <f t="shared" si="17"/>
        <v>0.46</v>
      </c>
      <c r="AI103" s="5">
        <f t="shared" si="17"/>
        <v>0.29</v>
      </c>
      <c r="AJ103" s="5">
        <f t="shared" si="17"/>
        <v>0.2</v>
      </c>
    </row>
    <row r="104" spans="1:36">
      <c r="A104" t="str">
        <f>"casthouse_procurement_archetype_"&amp;TEXT(ROUND(Table21319[[#This Row],[2016]],1),"0.0")</f>
        <v>casthouse_procurement_archetype_20.1</v>
      </c>
      <c r="B104" s="5">
        <f t="shared" si="13"/>
        <v>20.1</v>
      </c>
      <c r="C104" s="5">
        <f t="shared" si="19"/>
        <v>20.1</v>
      </c>
      <c r="D104" s="5">
        <f t="shared" si="19"/>
        <v>20.1</v>
      </c>
      <c r="E104" s="5">
        <f t="shared" si="19"/>
        <v>19.61</v>
      </c>
      <c r="F104" s="5">
        <f t="shared" si="19"/>
        <v>18.43</v>
      </c>
      <c r="G104" s="5">
        <f t="shared" si="19"/>
        <v>18.59</v>
      </c>
      <c r="H104" s="5">
        <f t="shared" si="19"/>
        <v>18.08</v>
      </c>
      <c r="I104" s="5">
        <f t="shared" si="19"/>
        <v>17.09</v>
      </c>
      <c r="J104" s="5">
        <f t="shared" si="19"/>
        <v>16.53</v>
      </c>
      <c r="K104" s="5">
        <f t="shared" si="19"/>
        <v>15.95</v>
      </c>
      <c r="L104" s="5">
        <f t="shared" si="19"/>
        <v>15.05</v>
      </c>
      <c r="M104" s="5">
        <f t="shared" si="19"/>
        <v>14.94</v>
      </c>
      <c r="N104" s="5">
        <f t="shared" si="19"/>
        <v>14.2</v>
      </c>
      <c r="O104" s="5">
        <f t="shared" si="19"/>
        <v>13.43</v>
      </c>
      <c r="P104" s="5">
        <f t="shared" si="19"/>
        <v>12.52</v>
      </c>
      <c r="Q104" s="5">
        <f t="shared" si="19"/>
        <v>10.75</v>
      </c>
      <c r="R104" s="5">
        <f t="shared" si="19"/>
        <v>8.37</v>
      </c>
      <c r="S104" s="5">
        <f t="shared" si="18"/>
        <v>7.61</v>
      </c>
      <c r="T104" s="5">
        <f t="shared" si="18"/>
        <v>5.96</v>
      </c>
      <c r="U104" s="5">
        <f t="shared" si="18"/>
        <v>4.29</v>
      </c>
      <c r="V104" s="5">
        <f t="shared" si="18"/>
        <v>3.98</v>
      </c>
      <c r="W104" s="5">
        <f t="shared" si="18"/>
        <v>3.05</v>
      </c>
      <c r="X104" s="5">
        <f t="shared" si="18"/>
        <v>2.58</v>
      </c>
      <c r="Y104" s="5">
        <f t="shared" si="18"/>
        <v>2.09</v>
      </c>
      <c r="Z104" s="5">
        <f t="shared" si="18"/>
        <v>2.01</v>
      </c>
      <c r="AA104" s="5">
        <f t="shared" si="18"/>
        <v>1.79</v>
      </c>
      <c r="AB104" s="5">
        <f t="shared" si="18"/>
        <v>1.46</v>
      </c>
      <c r="AC104" s="5">
        <f t="shared" si="18"/>
        <v>1.2</v>
      </c>
      <c r="AD104" s="5">
        <f t="shared" si="18"/>
        <v>1.15</v>
      </c>
      <c r="AE104" s="5">
        <f t="shared" si="18"/>
        <v>0.97</v>
      </c>
      <c r="AF104" s="5">
        <f t="shared" si="18"/>
        <v>0.86</v>
      </c>
      <c r="AG104" s="5">
        <f t="shared" si="18"/>
        <v>0.78</v>
      </c>
      <c r="AH104" s="5">
        <f t="shared" si="17"/>
        <v>0.46</v>
      </c>
      <c r="AI104" s="5">
        <f t="shared" si="17"/>
        <v>0.28</v>
      </c>
      <c r="AJ104" s="5">
        <f t="shared" si="17"/>
        <v>0.2</v>
      </c>
    </row>
    <row r="105" spans="1:36">
      <c r="A105" t="str">
        <f>"casthouse_procurement_archetype_"&amp;TEXT(ROUND(Table21319[[#This Row],[2016]],1),"0.0")</f>
        <v>casthouse_procurement_archetype_20.0</v>
      </c>
      <c r="B105" s="5">
        <f t="shared" si="13"/>
        <v>20</v>
      </c>
      <c r="C105" s="5">
        <f t="shared" si="19"/>
        <v>20</v>
      </c>
      <c r="D105" s="5">
        <f t="shared" si="19"/>
        <v>20</v>
      </c>
      <c r="E105" s="5">
        <f t="shared" si="19"/>
        <v>19.51</v>
      </c>
      <c r="F105" s="5">
        <f t="shared" si="19"/>
        <v>18.34</v>
      </c>
      <c r="G105" s="5">
        <f t="shared" si="19"/>
        <v>18.5</v>
      </c>
      <c r="H105" s="5">
        <f t="shared" si="19"/>
        <v>17.99</v>
      </c>
      <c r="I105" s="5">
        <f t="shared" si="19"/>
        <v>17</v>
      </c>
      <c r="J105" s="5">
        <f t="shared" si="19"/>
        <v>16.45</v>
      </c>
      <c r="K105" s="5">
        <f t="shared" si="19"/>
        <v>15.88</v>
      </c>
      <c r="L105" s="5">
        <f t="shared" si="19"/>
        <v>14.97</v>
      </c>
      <c r="M105" s="5">
        <f t="shared" si="19"/>
        <v>14.87</v>
      </c>
      <c r="N105" s="5">
        <f t="shared" si="19"/>
        <v>14.13</v>
      </c>
      <c r="O105" s="5">
        <f t="shared" si="19"/>
        <v>13.36</v>
      </c>
      <c r="P105" s="5">
        <f t="shared" si="19"/>
        <v>12.46</v>
      </c>
      <c r="Q105" s="5">
        <f t="shared" si="19"/>
        <v>10.7</v>
      </c>
      <c r="R105" s="5">
        <f t="shared" si="19"/>
        <v>8.33</v>
      </c>
      <c r="S105" s="5">
        <f t="shared" si="18"/>
        <v>7.57</v>
      </c>
      <c r="T105" s="5">
        <f t="shared" si="18"/>
        <v>5.93</v>
      </c>
      <c r="U105" s="5">
        <f t="shared" si="18"/>
        <v>4.27</v>
      </c>
      <c r="V105" s="5">
        <f t="shared" si="18"/>
        <v>3.96</v>
      </c>
      <c r="W105" s="5">
        <f t="shared" si="18"/>
        <v>3.04</v>
      </c>
      <c r="X105" s="5">
        <f t="shared" si="18"/>
        <v>2.57</v>
      </c>
      <c r="Y105" s="5">
        <f t="shared" si="18"/>
        <v>2.08</v>
      </c>
      <c r="Z105" s="5">
        <f t="shared" si="18"/>
        <v>2</v>
      </c>
      <c r="AA105" s="5">
        <f t="shared" si="18"/>
        <v>1.78</v>
      </c>
      <c r="AB105" s="5">
        <f t="shared" si="18"/>
        <v>1.46</v>
      </c>
      <c r="AC105" s="5">
        <f t="shared" si="18"/>
        <v>1.19</v>
      </c>
      <c r="AD105" s="5">
        <f t="shared" si="18"/>
        <v>1.15</v>
      </c>
      <c r="AE105" s="5">
        <f t="shared" si="18"/>
        <v>0.97</v>
      </c>
      <c r="AF105" s="5">
        <f t="shared" si="18"/>
        <v>0.86</v>
      </c>
      <c r="AG105" s="5">
        <f t="shared" si="18"/>
        <v>0.77</v>
      </c>
      <c r="AH105" s="5">
        <f t="shared" si="17"/>
        <v>0.46</v>
      </c>
      <c r="AI105" s="5">
        <f t="shared" si="17"/>
        <v>0.28</v>
      </c>
      <c r="AJ105" s="5">
        <f t="shared" si="17"/>
        <v>0.2</v>
      </c>
    </row>
    <row r="106" spans="1:36">
      <c r="A106" t="str">
        <f>"casthouse_procurement_archetype_"&amp;TEXT(ROUND(Table21319[[#This Row],[2016]],1),"0.0")</f>
        <v>casthouse_procurement_archetype_19.9</v>
      </c>
      <c r="B106" s="5">
        <f t="shared" si="13"/>
        <v>19.9</v>
      </c>
      <c r="C106" s="5">
        <f t="shared" si="19"/>
        <v>19.9</v>
      </c>
      <c r="D106" s="5">
        <f t="shared" si="19"/>
        <v>19.9</v>
      </c>
      <c r="E106" s="5">
        <f t="shared" si="19"/>
        <v>19.42</v>
      </c>
      <c r="F106" s="5">
        <f t="shared" si="19"/>
        <v>18.24</v>
      </c>
      <c r="G106" s="5">
        <f t="shared" si="19"/>
        <v>18.41</v>
      </c>
      <c r="H106" s="5">
        <f t="shared" si="19"/>
        <v>17.9</v>
      </c>
      <c r="I106" s="5">
        <f t="shared" si="19"/>
        <v>16.92</v>
      </c>
      <c r="J106" s="5">
        <f t="shared" si="19"/>
        <v>16.36</v>
      </c>
      <c r="K106" s="5">
        <f t="shared" si="19"/>
        <v>15.8</v>
      </c>
      <c r="L106" s="5">
        <f t="shared" si="19"/>
        <v>14.9</v>
      </c>
      <c r="M106" s="5">
        <f t="shared" si="19"/>
        <v>14.79</v>
      </c>
      <c r="N106" s="5">
        <f t="shared" si="19"/>
        <v>14.06</v>
      </c>
      <c r="O106" s="5">
        <f t="shared" si="19"/>
        <v>13.3</v>
      </c>
      <c r="P106" s="5">
        <f t="shared" si="19"/>
        <v>12.4</v>
      </c>
      <c r="Q106" s="5">
        <f t="shared" si="19"/>
        <v>10.65</v>
      </c>
      <c r="R106" s="5">
        <f t="shared" si="19"/>
        <v>8.29</v>
      </c>
      <c r="S106" s="5">
        <f t="shared" si="18"/>
        <v>7.53</v>
      </c>
      <c r="T106" s="5">
        <f t="shared" si="18"/>
        <v>5.9</v>
      </c>
      <c r="U106" s="5">
        <f t="shared" si="18"/>
        <v>4.25</v>
      </c>
      <c r="V106" s="5">
        <f t="shared" si="18"/>
        <v>3.95</v>
      </c>
      <c r="W106" s="5">
        <f t="shared" si="18"/>
        <v>3.02</v>
      </c>
      <c r="X106" s="5">
        <f t="shared" si="18"/>
        <v>2.56</v>
      </c>
      <c r="Y106" s="5">
        <f t="shared" si="18"/>
        <v>2.07</v>
      </c>
      <c r="Z106" s="5">
        <f t="shared" si="18"/>
        <v>2</v>
      </c>
      <c r="AA106" s="5">
        <f t="shared" si="18"/>
        <v>1.77</v>
      </c>
      <c r="AB106" s="5">
        <f t="shared" si="18"/>
        <v>1.45</v>
      </c>
      <c r="AC106" s="5">
        <f t="shared" si="18"/>
        <v>1.19</v>
      </c>
      <c r="AD106" s="5">
        <f t="shared" si="18"/>
        <v>1.14</v>
      </c>
      <c r="AE106" s="5">
        <f t="shared" si="18"/>
        <v>0.96</v>
      </c>
      <c r="AF106" s="5">
        <f t="shared" si="18"/>
        <v>0.85</v>
      </c>
      <c r="AG106" s="5">
        <f t="shared" si="18"/>
        <v>0.77</v>
      </c>
      <c r="AH106" s="5">
        <f t="shared" si="17"/>
        <v>0.46</v>
      </c>
      <c r="AI106" s="5">
        <f t="shared" si="17"/>
        <v>0.28</v>
      </c>
      <c r="AJ106" s="5">
        <f t="shared" si="17"/>
        <v>0.2</v>
      </c>
    </row>
    <row r="107" spans="1:36">
      <c r="A107" t="str">
        <f>"casthouse_procurement_archetype_"&amp;TEXT(ROUND(Table21319[[#This Row],[2016]],1),"0.0")</f>
        <v>casthouse_procurement_archetype_19.8</v>
      </c>
      <c r="B107" s="5">
        <f t="shared" si="13"/>
        <v>19.8</v>
      </c>
      <c r="C107" s="5">
        <f t="shared" si="19"/>
        <v>19.8</v>
      </c>
      <c r="D107" s="5">
        <f t="shared" si="19"/>
        <v>19.8</v>
      </c>
      <c r="E107" s="5">
        <f t="shared" si="19"/>
        <v>19.32</v>
      </c>
      <c r="F107" s="5">
        <f t="shared" si="19"/>
        <v>18.15</v>
      </c>
      <c r="G107" s="5">
        <f t="shared" si="19"/>
        <v>18.32</v>
      </c>
      <c r="H107" s="5">
        <f t="shared" si="19"/>
        <v>17.81</v>
      </c>
      <c r="I107" s="5">
        <f t="shared" si="19"/>
        <v>16.83</v>
      </c>
      <c r="J107" s="5">
        <f t="shared" si="19"/>
        <v>16.28</v>
      </c>
      <c r="K107" s="5">
        <f t="shared" si="19"/>
        <v>15.72</v>
      </c>
      <c r="L107" s="5">
        <f t="shared" si="19"/>
        <v>14.83</v>
      </c>
      <c r="M107" s="5">
        <f t="shared" si="19"/>
        <v>14.72</v>
      </c>
      <c r="N107" s="5">
        <f t="shared" si="19"/>
        <v>13.99</v>
      </c>
      <c r="O107" s="5">
        <f t="shared" si="19"/>
        <v>13.23</v>
      </c>
      <c r="P107" s="5">
        <f t="shared" si="19"/>
        <v>12.33</v>
      </c>
      <c r="Q107" s="5">
        <f t="shared" si="19"/>
        <v>10.59</v>
      </c>
      <c r="R107" s="5">
        <f t="shared" si="19"/>
        <v>8.25</v>
      </c>
      <c r="S107" s="5">
        <f t="shared" si="18"/>
        <v>7.5</v>
      </c>
      <c r="T107" s="5">
        <f t="shared" si="18"/>
        <v>5.87</v>
      </c>
      <c r="U107" s="5">
        <f t="shared" si="18"/>
        <v>4.23</v>
      </c>
      <c r="V107" s="5">
        <f t="shared" si="18"/>
        <v>3.93</v>
      </c>
      <c r="W107" s="5">
        <f t="shared" si="18"/>
        <v>3.01</v>
      </c>
      <c r="X107" s="5">
        <f t="shared" si="18"/>
        <v>2.55</v>
      </c>
      <c r="Y107" s="5">
        <f t="shared" si="18"/>
        <v>2.06</v>
      </c>
      <c r="Z107" s="5">
        <f t="shared" si="18"/>
        <v>1.99</v>
      </c>
      <c r="AA107" s="5">
        <f t="shared" si="18"/>
        <v>1.77</v>
      </c>
      <c r="AB107" s="5">
        <f t="shared" si="18"/>
        <v>1.44</v>
      </c>
      <c r="AC107" s="5">
        <f t="shared" si="18"/>
        <v>1.18</v>
      </c>
      <c r="AD107" s="5">
        <f t="shared" si="18"/>
        <v>1.14</v>
      </c>
      <c r="AE107" s="5">
        <f t="shared" si="18"/>
        <v>0.96</v>
      </c>
      <c r="AF107" s="5">
        <f t="shared" si="18"/>
        <v>0.85</v>
      </c>
      <c r="AG107" s="5">
        <f t="shared" si="18"/>
        <v>0.77</v>
      </c>
      <c r="AH107" s="5">
        <f t="shared" si="17"/>
        <v>0.46</v>
      </c>
      <c r="AI107" s="5">
        <f t="shared" si="17"/>
        <v>0.28</v>
      </c>
      <c r="AJ107" s="5">
        <f t="shared" si="17"/>
        <v>0.2</v>
      </c>
    </row>
    <row r="108" spans="1:36">
      <c r="A108" t="str">
        <f>"casthouse_procurement_archetype_"&amp;TEXT(ROUND(Table21319[[#This Row],[2016]],1),"0.0")</f>
        <v>casthouse_procurement_archetype_19.7</v>
      </c>
      <c r="B108" s="5">
        <f t="shared" si="13"/>
        <v>19.7</v>
      </c>
      <c r="C108" s="5">
        <f t="shared" si="19"/>
        <v>19.7</v>
      </c>
      <c r="D108" s="5">
        <f t="shared" si="19"/>
        <v>19.7</v>
      </c>
      <c r="E108" s="5">
        <f t="shared" si="19"/>
        <v>19.22</v>
      </c>
      <c r="F108" s="5">
        <f t="shared" si="19"/>
        <v>18.06</v>
      </c>
      <c r="G108" s="5">
        <f t="shared" si="19"/>
        <v>18.22</v>
      </c>
      <c r="H108" s="5">
        <f t="shared" si="19"/>
        <v>17.72</v>
      </c>
      <c r="I108" s="5">
        <f t="shared" si="19"/>
        <v>16.75</v>
      </c>
      <c r="J108" s="5">
        <f t="shared" si="19"/>
        <v>16.2</v>
      </c>
      <c r="K108" s="5">
        <f t="shared" si="19"/>
        <v>15.64</v>
      </c>
      <c r="L108" s="5">
        <f t="shared" si="19"/>
        <v>14.75</v>
      </c>
      <c r="M108" s="5">
        <f t="shared" si="19"/>
        <v>14.64</v>
      </c>
      <c r="N108" s="5">
        <f t="shared" si="19"/>
        <v>13.92</v>
      </c>
      <c r="O108" s="5">
        <f t="shared" si="19"/>
        <v>13.16</v>
      </c>
      <c r="P108" s="5">
        <f t="shared" si="19"/>
        <v>12.27</v>
      </c>
      <c r="Q108" s="5">
        <f t="shared" si="19"/>
        <v>10.54</v>
      </c>
      <c r="R108" s="5">
        <f t="shared" ref="R108:AG123" si="20">MROUND((($B108-$AJ$2)*((R$2-$AJ$2)/($B$2-$AJ$2)))+$AJ$2,0.01)</f>
        <v>8.21</v>
      </c>
      <c r="S108" s="5">
        <f t="shared" si="20"/>
        <v>7.46</v>
      </c>
      <c r="T108" s="5">
        <f t="shared" si="20"/>
        <v>5.84</v>
      </c>
      <c r="U108" s="5">
        <f t="shared" si="20"/>
        <v>4.21</v>
      </c>
      <c r="V108" s="5">
        <f t="shared" si="20"/>
        <v>3.91</v>
      </c>
      <c r="W108" s="5">
        <f t="shared" si="20"/>
        <v>3</v>
      </c>
      <c r="X108" s="5">
        <f t="shared" si="20"/>
        <v>2.53</v>
      </c>
      <c r="Y108" s="5">
        <f t="shared" si="20"/>
        <v>2.05</v>
      </c>
      <c r="Z108" s="5">
        <f t="shared" si="20"/>
        <v>1.98</v>
      </c>
      <c r="AA108" s="5">
        <f t="shared" si="20"/>
        <v>1.76</v>
      </c>
      <c r="AB108" s="5">
        <f t="shared" si="20"/>
        <v>1.44</v>
      </c>
      <c r="AC108" s="5">
        <f t="shared" si="20"/>
        <v>1.18</v>
      </c>
      <c r="AD108" s="5">
        <f t="shared" si="20"/>
        <v>1.13</v>
      </c>
      <c r="AE108" s="5">
        <f t="shared" si="20"/>
        <v>0.96</v>
      </c>
      <c r="AF108" s="5">
        <f t="shared" si="20"/>
        <v>0.85</v>
      </c>
      <c r="AG108" s="5">
        <f t="shared" si="20"/>
        <v>0.76</v>
      </c>
      <c r="AH108" s="5">
        <f t="shared" si="17"/>
        <v>0.46</v>
      </c>
      <c r="AI108" s="5">
        <f t="shared" si="17"/>
        <v>0.28</v>
      </c>
      <c r="AJ108" s="5">
        <f t="shared" si="17"/>
        <v>0.2</v>
      </c>
    </row>
    <row r="109" spans="1:36">
      <c r="A109" t="str">
        <f>"casthouse_procurement_archetype_"&amp;TEXT(ROUND(Table21319[[#This Row],[2016]],1),"0.0")</f>
        <v>casthouse_procurement_archetype_19.6</v>
      </c>
      <c r="B109" s="5">
        <f t="shared" si="13"/>
        <v>19.6</v>
      </c>
      <c r="C109" s="5">
        <f t="shared" ref="C109:R124" si="21">MROUND((($B109-$AJ$2)*((C$2-$AJ$2)/($B$2-$AJ$2)))+$AJ$2,0.01)</f>
        <v>19.6</v>
      </c>
      <c r="D109" s="5">
        <f t="shared" si="21"/>
        <v>19.6</v>
      </c>
      <c r="E109" s="5">
        <f t="shared" si="21"/>
        <v>19.12</v>
      </c>
      <c r="F109" s="5">
        <f t="shared" si="21"/>
        <v>17.97</v>
      </c>
      <c r="G109" s="5">
        <f t="shared" si="21"/>
        <v>18.13</v>
      </c>
      <c r="H109" s="5">
        <f t="shared" si="21"/>
        <v>17.63</v>
      </c>
      <c r="I109" s="5">
        <f t="shared" si="21"/>
        <v>16.66</v>
      </c>
      <c r="J109" s="5">
        <f t="shared" si="21"/>
        <v>16.12</v>
      </c>
      <c r="K109" s="5">
        <f t="shared" si="21"/>
        <v>15.56</v>
      </c>
      <c r="L109" s="5">
        <f t="shared" si="21"/>
        <v>14.68</v>
      </c>
      <c r="M109" s="5">
        <f t="shared" si="21"/>
        <v>14.57</v>
      </c>
      <c r="N109" s="5">
        <f t="shared" si="21"/>
        <v>13.85</v>
      </c>
      <c r="O109" s="5">
        <f t="shared" si="21"/>
        <v>13.1</v>
      </c>
      <c r="P109" s="5">
        <f t="shared" si="21"/>
        <v>12.21</v>
      </c>
      <c r="Q109" s="5">
        <f t="shared" si="21"/>
        <v>10.49</v>
      </c>
      <c r="R109" s="5">
        <f t="shared" si="21"/>
        <v>8.16</v>
      </c>
      <c r="S109" s="5">
        <f t="shared" si="20"/>
        <v>7.42</v>
      </c>
      <c r="T109" s="5">
        <f t="shared" si="20"/>
        <v>5.81</v>
      </c>
      <c r="U109" s="5">
        <f t="shared" si="20"/>
        <v>4.19</v>
      </c>
      <c r="V109" s="5">
        <f t="shared" si="20"/>
        <v>3.89</v>
      </c>
      <c r="W109" s="5">
        <f t="shared" si="20"/>
        <v>2.98</v>
      </c>
      <c r="X109" s="5">
        <f t="shared" si="20"/>
        <v>2.52</v>
      </c>
      <c r="Y109" s="5">
        <f t="shared" si="20"/>
        <v>2.04</v>
      </c>
      <c r="Z109" s="5">
        <f t="shared" si="20"/>
        <v>1.97</v>
      </c>
      <c r="AA109" s="5">
        <f t="shared" si="20"/>
        <v>1.75</v>
      </c>
      <c r="AB109" s="5">
        <f t="shared" si="20"/>
        <v>1.43</v>
      </c>
      <c r="AC109" s="5">
        <f t="shared" si="20"/>
        <v>1.17</v>
      </c>
      <c r="AD109" s="5">
        <f t="shared" si="20"/>
        <v>1.13</v>
      </c>
      <c r="AE109" s="5">
        <f t="shared" si="20"/>
        <v>0.95</v>
      </c>
      <c r="AF109" s="5">
        <f t="shared" si="20"/>
        <v>0.84</v>
      </c>
      <c r="AG109" s="5">
        <f t="shared" si="20"/>
        <v>0.76</v>
      </c>
      <c r="AH109" s="5">
        <f t="shared" si="17"/>
        <v>0.46</v>
      </c>
      <c r="AI109" s="5">
        <f t="shared" si="17"/>
        <v>0.28</v>
      </c>
      <c r="AJ109" s="5">
        <f t="shared" si="17"/>
        <v>0.2</v>
      </c>
    </row>
    <row r="110" spans="1:36">
      <c r="A110" t="str">
        <f>"casthouse_procurement_archetype_"&amp;TEXT(ROUND(Table21319[[#This Row],[2016]],1),"0.0")</f>
        <v>casthouse_procurement_archetype_19.5</v>
      </c>
      <c r="B110" s="5">
        <f t="shared" si="13"/>
        <v>19.5</v>
      </c>
      <c r="C110" s="5">
        <f t="shared" si="21"/>
        <v>19.5</v>
      </c>
      <c r="D110" s="5">
        <f t="shared" si="21"/>
        <v>19.5</v>
      </c>
      <c r="E110" s="5">
        <f t="shared" si="21"/>
        <v>19.03</v>
      </c>
      <c r="F110" s="5">
        <f t="shared" si="21"/>
        <v>17.88</v>
      </c>
      <c r="G110" s="5">
        <f t="shared" si="21"/>
        <v>18.04</v>
      </c>
      <c r="H110" s="5">
        <f t="shared" si="21"/>
        <v>17.54</v>
      </c>
      <c r="I110" s="5">
        <f t="shared" si="21"/>
        <v>16.58</v>
      </c>
      <c r="J110" s="5">
        <f t="shared" si="21"/>
        <v>16.03</v>
      </c>
      <c r="K110" s="5">
        <f t="shared" si="21"/>
        <v>15.48</v>
      </c>
      <c r="L110" s="5">
        <f t="shared" si="21"/>
        <v>14.6</v>
      </c>
      <c r="M110" s="5">
        <f t="shared" si="21"/>
        <v>14.5</v>
      </c>
      <c r="N110" s="5">
        <f t="shared" si="21"/>
        <v>13.78</v>
      </c>
      <c r="O110" s="5">
        <f t="shared" si="21"/>
        <v>13.03</v>
      </c>
      <c r="P110" s="5">
        <f t="shared" si="21"/>
        <v>12.15</v>
      </c>
      <c r="Q110" s="5">
        <f t="shared" si="21"/>
        <v>10.43</v>
      </c>
      <c r="R110" s="5">
        <f t="shared" si="21"/>
        <v>8.12</v>
      </c>
      <c r="S110" s="5">
        <f t="shared" si="20"/>
        <v>7.39</v>
      </c>
      <c r="T110" s="5">
        <f t="shared" si="20"/>
        <v>5.78</v>
      </c>
      <c r="U110" s="5">
        <f t="shared" si="20"/>
        <v>4.17</v>
      </c>
      <c r="V110" s="5">
        <f t="shared" si="20"/>
        <v>3.87</v>
      </c>
      <c r="W110" s="5">
        <f t="shared" si="20"/>
        <v>2.97</v>
      </c>
      <c r="X110" s="5">
        <f t="shared" si="20"/>
        <v>2.51</v>
      </c>
      <c r="Y110" s="5">
        <f t="shared" si="20"/>
        <v>2.03</v>
      </c>
      <c r="Z110" s="5">
        <f t="shared" si="20"/>
        <v>1.96</v>
      </c>
      <c r="AA110" s="5">
        <f t="shared" si="20"/>
        <v>1.74</v>
      </c>
      <c r="AB110" s="5">
        <f t="shared" si="20"/>
        <v>1.43</v>
      </c>
      <c r="AC110" s="5">
        <f t="shared" si="20"/>
        <v>1.17</v>
      </c>
      <c r="AD110" s="5">
        <f t="shared" si="20"/>
        <v>1.12</v>
      </c>
      <c r="AE110" s="5">
        <f t="shared" si="20"/>
        <v>0.95</v>
      </c>
      <c r="AF110" s="5">
        <f t="shared" si="20"/>
        <v>0.84</v>
      </c>
      <c r="AG110" s="5">
        <f t="shared" si="20"/>
        <v>0.76</v>
      </c>
      <c r="AH110" s="5">
        <f t="shared" si="17"/>
        <v>0.45</v>
      </c>
      <c r="AI110" s="5">
        <f t="shared" si="17"/>
        <v>0.28</v>
      </c>
      <c r="AJ110" s="5">
        <f t="shared" si="17"/>
        <v>0.2</v>
      </c>
    </row>
    <row r="111" spans="1:36">
      <c r="A111" t="str">
        <f>"casthouse_procurement_archetype_"&amp;TEXT(ROUND(Table21319[[#This Row],[2016]],1),"0.0")</f>
        <v>casthouse_procurement_archetype_19.4</v>
      </c>
      <c r="B111" s="5">
        <f t="shared" si="13"/>
        <v>19.4</v>
      </c>
      <c r="C111" s="5">
        <f t="shared" si="21"/>
        <v>19.4</v>
      </c>
      <c r="D111" s="5">
        <f t="shared" si="21"/>
        <v>19.4</v>
      </c>
      <c r="E111" s="5">
        <f t="shared" si="21"/>
        <v>18.93</v>
      </c>
      <c r="F111" s="5">
        <f t="shared" si="21"/>
        <v>17.79</v>
      </c>
      <c r="G111" s="5">
        <f t="shared" si="21"/>
        <v>17.95</v>
      </c>
      <c r="H111" s="5">
        <f t="shared" si="21"/>
        <v>17.45</v>
      </c>
      <c r="I111" s="5">
        <f t="shared" si="21"/>
        <v>16.49</v>
      </c>
      <c r="J111" s="5">
        <f t="shared" si="21"/>
        <v>15.95</v>
      </c>
      <c r="K111" s="5">
        <f t="shared" si="21"/>
        <v>15.4</v>
      </c>
      <c r="L111" s="5">
        <f t="shared" si="21"/>
        <v>14.53</v>
      </c>
      <c r="M111" s="5">
        <f t="shared" si="21"/>
        <v>14.42</v>
      </c>
      <c r="N111" s="5">
        <f t="shared" si="21"/>
        <v>13.71</v>
      </c>
      <c r="O111" s="5">
        <f t="shared" si="21"/>
        <v>12.96</v>
      </c>
      <c r="P111" s="5">
        <f t="shared" si="21"/>
        <v>12.09</v>
      </c>
      <c r="Q111" s="5">
        <f t="shared" si="21"/>
        <v>10.38</v>
      </c>
      <c r="R111" s="5">
        <f t="shared" si="21"/>
        <v>8.08</v>
      </c>
      <c r="S111" s="5">
        <f t="shared" si="20"/>
        <v>7.35</v>
      </c>
      <c r="T111" s="5">
        <f t="shared" si="20"/>
        <v>5.75</v>
      </c>
      <c r="U111" s="5">
        <f t="shared" si="20"/>
        <v>4.15</v>
      </c>
      <c r="V111" s="5">
        <f t="shared" si="20"/>
        <v>3.85</v>
      </c>
      <c r="W111" s="5">
        <f t="shared" si="20"/>
        <v>2.95</v>
      </c>
      <c r="X111" s="5">
        <f t="shared" si="20"/>
        <v>2.5</v>
      </c>
      <c r="Y111" s="5">
        <f t="shared" si="20"/>
        <v>2.02</v>
      </c>
      <c r="Z111" s="5">
        <f t="shared" si="20"/>
        <v>1.95</v>
      </c>
      <c r="AA111" s="5">
        <f t="shared" si="20"/>
        <v>1.73</v>
      </c>
      <c r="AB111" s="5">
        <f t="shared" si="20"/>
        <v>1.42</v>
      </c>
      <c r="AC111" s="5">
        <f t="shared" si="20"/>
        <v>1.16</v>
      </c>
      <c r="AD111" s="5">
        <f t="shared" si="20"/>
        <v>1.12</v>
      </c>
      <c r="AE111" s="5">
        <f t="shared" si="20"/>
        <v>0.94</v>
      </c>
      <c r="AF111" s="5">
        <f t="shared" si="20"/>
        <v>0.84</v>
      </c>
      <c r="AG111" s="5">
        <f t="shared" si="20"/>
        <v>0.76</v>
      </c>
      <c r="AH111" s="5">
        <f t="shared" si="17"/>
        <v>0.45</v>
      </c>
      <c r="AI111" s="5">
        <f t="shared" si="17"/>
        <v>0.28</v>
      </c>
      <c r="AJ111" s="5">
        <f t="shared" si="17"/>
        <v>0.2</v>
      </c>
    </row>
    <row r="112" spans="1:36">
      <c r="A112" t="str">
        <f>"casthouse_procurement_archetype_"&amp;TEXT(ROUND(Table21319[[#This Row],[2016]],1),"0.0")</f>
        <v>casthouse_procurement_archetype_19.3</v>
      </c>
      <c r="B112" s="5">
        <f t="shared" si="13"/>
        <v>19.3</v>
      </c>
      <c r="C112" s="5">
        <f t="shared" si="21"/>
        <v>19.3</v>
      </c>
      <c r="D112" s="5">
        <f t="shared" si="21"/>
        <v>19.3</v>
      </c>
      <c r="E112" s="5">
        <f t="shared" si="21"/>
        <v>18.83</v>
      </c>
      <c r="F112" s="5">
        <f t="shared" si="21"/>
        <v>17.69</v>
      </c>
      <c r="G112" s="5">
        <f t="shared" si="21"/>
        <v>17.85</v>
      </c>
      <c r="H112" s="5">
        <f t="shared" si="21"/>
        <v>17.36</v>
      </c>
      <c r="I112" s="5">
        <f t="shared" si="21"/>
        <v>16.41</v>
      </c>
      <c r="J112" s="5">
        <f t="shared" si="21"/>
        <v>15.87</v>
      </c>
      <c r="K112" s="5">
        <f t="shared" si="21"/>
        <v>15.32</v>
      </c>
      <c r="L112" s="5">
        <f t="shared" si="21"/>
        <v>14.45</v>
      </c>
      <c r="M112" s="5">
        <f t="shared" si="21"/>
        <v>14.35</v>
      </c>
      <c r="N112" s="5">
        <f t="shared" si="21"/>
        <v>13.64</v>
      </c>
      <c r="O112" s="5">
        <f t="shared" si="21"/>
        <v>12.9</v>
      </c>
      <c r="P112" s="5">
        <f t="shared" si="21"/>
        <v>12.02</v>
      </c>
      <c r="Q112" s="5">
        <f t="shared" si="21"/>
        <v>10.33</v>
      </c>
      <c r="R112" s="5">
        <f t="shared" si="21"/>
        <v>8.04</v>
      </c>
      <c r="S112" s="5">
        <f t="shared" si="20"/>
        <v>7.31</v>
      </c>
      <c r="T112" s="5">
        <f t="shared" si="20"/>
        <v>5.73</v>
      </c>
      <c r="U112" s="5">
        <f t="shared" si="20"/>
        <v>4.13</v>
      </c>
      <c r="V112" s="5">
        <f t="shared" si="20"/>
        <v>3.83</v>
      </c>
      <c r="W112" s="5">
        <f t="shared" si="20"/>
        <v>2.94</v>
      </c>
      <c r="X112" s="5">
        <f t="shared" si="20"/>
        <v>2.49</v>
      </c>
      <c r="Y112" s="5">
        <f t="shared" si="20"/>
        <v>2.01</v>
      </c>
      <c r="Z112" s="5">
        <f t="shared" si="20"/>
        <v>1.94</v>
      </c>
      <c r="AA112" s="5">
        <f t="shared" si="20"/>
        <v>1.73</v>
      </c>
      <c r="AB112" s="5">
        <f t="shared" si="20"/>
        <v>1.41</v>
      </c>
      <c r="AC112" s="5">
        <f t="shared" si="20"/>
        <v>1.16</v>
      </c>
      <c r="AD112" s="5">
        <f t="shared" si="20"/>
        <v>1.11</v>
      </c>
      <c r="AE112" s="5">
        <f t="shared" si="20"/>
        <v>0.94</v>
      </c>
      <c r="AF112" s="5">
        <f t="shared" si="20"/>
        <v>0.83</v>
      </c>
      <c r="AG112" s="5">
        <f t="shared" si="20"/>
        <v>0.75</v>
      </c>
      <c r="AH112" s="5">
        <f t="shared" si="17"/>
        <v>0.45</v>
      </c>
      <c r="AI112" s="5">
        <f t="shared" si="17"/>
        <v>0.28</v>
      </c>
      <c r="AJ112" s="5">
        <f t="shared" si="17"/>
        <v>0.2</v>
      </c>
    </row>
    <row r="113" spans="1:36">
      <c r="A113" t="str">
        <f>"casthouse_procurement_archetype_"&amp;TEXT(ROUND(Table21319[[#This Row],[2016]],1),"0.0")</f>
        <v>casthouse_procurement_archetype_19.2</v>
      </c>
      <c r="B113" s="5">
        <f t="shared" si="13"/>
        <v>19.2</v>
      </c>
      <c r="C113" s="5">
        <f t="shared" si="21"/>
        <v>19.2</v>
      </c>
      <c r="D113" s="5">
        <f t="shared" si="21"/>
        <v>19.2</v>
      </c>
      <c r="E113" s="5">
        <f t="shared" si="21"/>
        <v>18.73</v>
      </c>
      <c r="F113" s="5">
        <f t="shared" si="21"/>
        <v>17.6</v>
      </c>
      <c r="G113" s="5">
        <f t="shared" si="21"/>
        <v>17.76</v>
      </c>
      <c r="H113" s="5">
        <f t="shared" si="21"/>
        <v>17.27</v>
      </c>
      <c r="I113" s="5">
        <f t="shared" si="21"/>
        <v>16.32</v>
      </c>
      <c r="J113" s="5">
        <f t="shared" si="21"/>
        <v>15.79</v>
      </c>
      <c r="K113" s="5">
        <f t="shared" si="21"/>
        <v>15.24</v>
      </c>
      <c r="L113" s="5">
        <f t="shared" si="21"/>
        <v>14.38</v>
      </c>
      <c r="M113" s="5">
        <f t="shared" si="21"/>
        <v>14.27</v>
      </c>
      <c r="N113" s="5">
        <f t="shared" si="21"/>
        <v>13.56</v>
      </c>
      <c r="O113" s="5">
        <f t="shared" si="21"/>
        <v>12.83</v>
      </c>
      <c r="P113" s="5">
        <f t="shared" si="21"/>
        <v>11.96</v>
      </c>
      <c r="Q113" s="5">
        <f t="shared" si="21"/>
        <v>10.28</v>
      </c>
      <c r="R113" s="5">
        <f t="shared" si="21"/>
        <v>8</v>
      </c>
      <c r="S113" s="5">
        <f t="shared" si="20"/>
        <v>7.27</v>
      </c>
      <c r="T113" s="5">
        <f t="shared" si="20"/>
        <v>5.7</v>
      </c>
      <c r="U113" s="5">
        <f t="shared" si="20"/>
        <v>4.11</v>
      </c>
      <c r="V113" s="5">
        <f t="shared" si="20"/>
        <v>3.81</v>
      </c>
      <c r="W113" s="5">
        <f t="shared" si="20"/>
        <v>2.92</v>
      </c>
      <c r="X113" s="5">
        <f t="shared" si="20"/>
        <v>2.47</v>
      </c>
      <c r="Y113" s="5">
        <f t="shared" si="20"/>
        <v>2</v>
      </c>
      <c r="Z113" s="5">
        <f t="shared" si="20"/>
        <v>1.93</v>
      </c>
      <c r="AA113" s="5">
        <f t="shared" si="20"/>
        <v>1.72</v>
      </c>
      <c r="AB113" s="5">
        <f t="shared" si="20"/>
        <v>1.41</v>
      </c>
      <c r="AC113" s="5">
        <f t="shared" si="20"/>
        <v>1.15</v>
      </c>
      <c r="AD113" s="5">
        <f t="shared" si="20"/>
        <v>1.11</v>
      </c>
      <c r="AE113" s="5">
        <f t="shared" si="20"/>
        <v>0.94</v>
      </c>
      <c r="AF113" s="5">
        <f t="shared" si="20"/>
        <v>0.83</v>
      </c>
      <c r="AG113" s="5">
        <f t="shared" si="20"/>
        <v>0.75</v>
      </c>
      <c r="AH113" s="5">
        <f t="shared" si="17"/>
        <v>0.45</v>
      </c>
      <c r="AI113" s="5">
        <f t="shared" si="17"/>
        <v>0.28</v>
      </c>
      <c r="AJ113" s="5">
        <f t="shared" si="17"/>
        <v>0.2</v>
      </c>
    </row>
    <row r="114" spans="1:36">
      <c r="A114" t="str">
        <f>"casthouse_procurement_archetype_"&amp;TEXT(ROUND(Table21319[[#This Row],[2016]],1),"0.0")</f>
        <v>casthouse_procurement_archetype_19.1</v>
      </c>
      <c r="B114" s="5">
        <f t="shared" si="13"/>
        <v>19.1</v>
      </c>
      <c r="C114" s="5">
        <f t="shared" si="21"/>
        <v>19.1</v>
      </c>
      <c r="D114" s="5">
        <f t="shared" si="21"/>
        <v>19.1</v>
      </c>
      <c r="E114" s="5">
        <f t="shared" si="21"/>
        <v>18.64</v>
      </c>
      <c r="F114" s="5">
        <f t="shared" si="21"/>
        <v>17.51</v>
      </c>
      <c r="G114" s="5">
        <f t="shared" si="21"/>
        <v>17.67</v>
      </c>
      <c r="H114" s="5">
        <f t="shared" si="21"/>
        <v>17.18</v>
      </c>
      <c r="I114" s="5">
        <f t="shared" si="21"/>
        <v>16.24</v>
      </c>
      <c r="J114" s="5">
        <f t="shared" si="21"/>
        <v>15.71</v>
      </c>
      <c r="K114" s="5">
        <f t="shared" si="21"/>
        <v>15.16</v>
      </c>
      <c r="L114" s="5">
        <f t="shared" si="21"/>
        <v>14.3</v>
      </c>
      <c r="M114" s="5">
        <f t="shared" si="21"/>
        <v>14.2</v>
      </c>
      <c r="N114" s="5">
        <f t="shared" si="21"/>
        <v>13.49</v>
      </c>
      <c r="O114" s="5">
        <f t="shared" si="21"/>
        <v>12.76</v>
      </c>
      <c r="P114" s="5">
        <f t="shared" si="21"/>
        <v>11.9</v>
      </c>
      <c r="Q114" s="5">
        <f t="shared" si="21"/>
        <v>10.22</v>
      </c>
      <c r="R114" s="5">
        <f t="shared" si="21"/>
        <v>7.96</v>
      </c>
      <c r="S114" s="5">
        <f t="shared" si="20"/>
        <v>7.24</v>
      </c>
      <c r="T114" s="5">
        <f t="shared" si="20"/>
        <v>5.67</v>
      </c>
      <c r="U114" s="5">
        <f t="shared" si="20"/>
        <v>4.09</v>
      </c>
      <c r="V114" s="5">
        <f t="shared" si="20"/>
        <v>3.79</v>
      </c>
      <c r="W114" s="5">
        <f t="shared" si="20"/>
        <v>2.91</v>
      </c>
      <c r="X114" s="5">
        <f t="shared" si="20"/>
        <v>2.46</v>
      </c>
      <c r="Y114" s="5">
        <f t="shared" si="20"/>
        <v>2</v>
      </c>
      <c r="Z114" s="5">
        <f t="shared" si="20"/>
        <v>1.92</v>
      </c>
      <c r="AA114" s="5">
        <f t="shared" si="20"/>
        <v>1.71</v>
      </c>
      <c r="AB114" s="5">
        <f t="shared" si="20"/>
        <v>1.4</v>
      </c>
      <c r="AC114" s="5">
        <f t="shared" si="20"/>
        <v>1.15</v>
      </c>
      <c r="AD114" s="5">
        <f t="shared" si="20"/>
        <v>1.1</v>
      </c>
      <c r="AE114" s="5">
        <f t="shared" si="20"/>
        <v>0.93</v>
      </c>
      <c r="AF114" s="5">
        <f t="shared" si="20"/>
        <v>0.83</v>
      </c>
      <c r="AG114" s="5">
        <f t="shared" si="20"/>
        <v>0.75</v>
      </c>
      <c r="AH114" s="5">
        <f t="shared" si="17"/>
        <v>0.45</v>
      </c>
      <c r="AI114" s="5">
        <f t="shared" si="17"/>
        <v>0.28</v>
      </c>
      <c r="AJ114" s="5">
        <f t="shared" si="17"/>
        <v>0.2</v>
      </c>
    </row>
    <row r="115" spans="1:36">
      <c r="A115" t="str">
        <f>"casthouse_procurement_archetype_"&amp;TEXT(ROUND(Table21319[[#This Row],[2016]],1),"0.0")</f>
        <v>casthouse_procurement_archetype_19.0</v>
      </c>
      <c r="B115" s="5">
        <f t="shared" si="13"/>
        <v>19</v>
      </c>
      <c r="C115" s="5">
        <f t="shared" si="21"/>
        <v>19</v>
      </c>
      <c r="D115" s="5">
        <f t="shared" si="21"/>
        <v>19</v>
      </c>
      <c r="E115" s="5">
        <f t="shared" si="21"/>
        <v>18.54</v>
      </c>
      <c r="F115" s="5">
        <f t="shared" si="21"/>
        <v>17.42</v>
      </c>
      <c r="G115" s="5">
        <f t="shared" si="21"/>
        <v>17.58</v>
      </c>
      <c r="H115" s="5">
        <f t="shared" si="21"/>
        <v>17.09</v>
      </c>
      <c r="I115" s="5">
        <f t="shared" si="21"/>
        <v>16.15</v>
      </c>
      <c r="J115" s="5">
        <f t="shared" si="21"/>
        <v>15.62</v>
      </c>
      <c r="K115" s="5">
        <f t="shared" si="21"/>
        <v>15.08</v>
      </c>
      <c r="L115" s="5">
        <f t="shared" si="21"/>
        <v>14.23</v>
      </c>
      <c r="M115" s="5">
        <f t="shared" si="21"/>
        <v>14.12</v>
      </c>
      <c r="N115" s="5">
        <f t="shared" si="21"/>
        <v>13.42</v>
      </c>
      <c r="O115" s="5">
        <f t="shared" si="21"/>
        <v>12.7</v>
      </c>
      <c r="P115" s="5">
        <f t="shared" si="21"/>
        <v>11.84</v>
      </c>
      <c r="Q115" s="5">
        <f t="shared" si="21"/>
        <v>10.17</v>
      </c>
      <c r="R115" s="5">
        <f t="shared" si="21"/>
        <v>7.92</v>
      </c>
      <c r="S115" s="5">
        <f t="shared" si="20"/>
        <v>7.2</v>
      </c>
      <c r="T115" s="5">
        <f t="shared" si="20"/>
        <v>5.64</v>
      </c>
      <c r="U115" s="5">
        <f t="shared" si="20"/>
        <v>4.07</v>
      </c>
      <c r="V115" s="5">
        <f t="shared" si="20"/>
        <v>3.77</v>
      </c>
      <c r="W115" s="5">
        <f t="shared" si="20"/>
        <v>2.9</v>
      </c>
      <c r="X115" s="5">
        <f t="shared" si="20"/>
        <v>2.45</v>
      </c>
      <c r="Y115" s="5">
        <f t="shared" si="20"/>
        <v>1.99</v>
      </c>
      <c r="Z115" s="5">
        <f t="shared" si="20"/>
        <v>1.91</v>
      </c>
      <c r="AA115" s="5">
        <f t="shared" si="20"/>
        <v>1.7</v>
      </c>
      <c r="AB115" s="5">
        <f t="shared" si="20"/>
        <v>1.39</v>
      </c>
      <c r="AC115" s="5">
        <f t="shared" si="20"/>
        <v>1.14</v>
      </c>
      <c r="AD115" s="5">
        <f t="shared" si="20"/>
        <v>1.1</v>
      </c>
      <c r="AE115" s="5">
        <f t="shared" si="20"/>
        <v>0.93</v>
      </c>
      <c r="AF115" s="5">
        <f t="shared" si="20"/>
        <v>0.82</v>
      </c>
      <c r="AG115" s="5">
        <f t="shared" si="20"/>
        <v>0.74</v>
      </c>
      <c r="AH115" s="5">
        <f t="shared" si="17"/>
        <v>0.45</v>
      </c>
      <c r="AI115" s="5">
        <f t="shared" si="17"/>
        <v>0.28</v>
      </c>
      <c r="AJ115" s="5">
        <f t="shared" si="17"/>
        <v>0.2</v>
      </c>
    </row>
    <row r="116" spans="1:36">
      <c r="A116" t="str">
        <f>"casthouse_procurement_archetype_"&amp;TEXT(ROUND(Table21319[[#This Row],[2016]],1),"0.0")</f>
        <v>casthouse_procurement_archetype_18.9</v>
      </c>
      <c r="B116" s="5">
        <f t="shared" si="13"/>
        <v>18.9</v>
      </c>
      <c r="C116" s="5">
        <f t="shared" si="21"/>
        <v>18.9</v>
      </c>
      <c r="D116" s="5">
        <f t="shared" si="21"/>
        <v>18.9</v>
      </c>
      <c r="E116" s="5">
        <f t="shared" si="21"/>
        <v>18.44</v>
      </c>
      <c r="F116" s="5">
        <f t="shared" si="21"/>
        <v>17.33</v>
      </c>
      <c r="G116" s="5">
        <f t="shared" si="21"/>
        <v>17.48</v>
      </c>
      <c r="H116" s="5">
        <f t="shared" si="21"/>
        <v>17</v>
      </c>
      <c r="I116" s="5">
        <f t="shared" si="21"/>
        <v>16.07</v>
      </c>
      <c r="J116" s="5">
        <f t="shared" si="21"/>
        <v>15.54</v>
      </c>
      <c r="K116" s="5">
        <f t="shared" si="21"/>
        <v>15</v>
      </c>
      <c r="L116" s="5">
        <f t="shared" si="21"/>
        <v>14.15</v>
      </c>
      <c r="M116" s="5">
        <f t="shared" si="21"/>
        <v>14.05</v>
      </c>
      <c r="N116" s="5">
        <f t="shared" si="21"/>
        <v>13.35</v>
      </c>
      <c r="O116" s="5">
        <f t="shared" si="21"/>
        <v>12.63</v>
      </c>
      <c r="P116" s="5">
        <f t="shared" si="21"/>
        <v>11.78</v>
      </c>
      <c r="Q116" s="5">
        <f t="shared" si="21"/>
        <v>10.12</v>
      </c>
      <c r="R116" s="5">
        <f t="shared" si="21"/>
        <v>7.88</v>
      </c>
      <c r="S116" s="5">
        <f t="shared" si="20"/>
        <v>7.16</v>
      </c>
      <c r="T116" s="5">
        <f t="shared" si="20"/>
        <v>5.61</v>
      </c>
      <c r="U116" s="5">
        <f t="shared" si="20"/>
        <v>4.05</v>
      </c>
      <c r="V116" s="5">
        <f t="shared" si="20"/>
        <v>3.76</v>
      </c>
      <c r="W116" s="5">
        <f t="shared" si="20"/>
        <v>2.88</v>
      </c>
      <c r="X116" s="5">
        <f t="shared" si="20"/>
        <v>2.44</v>
      </c>
      <c r="Y116" s="5">
        <f t="shared" si="20"/>
        <v>1.98</v>
      </c>
      <c r="Z116" s="5">
        <f t="shared" si="20"/>
        <v>1.9</v>
      </c>
      <c r="AA116" s="5">
        <f t="shared" si="20"/>
        <v>1.69</v>
      </c>
      <c r="AB116" s="5">
        <f t="shared" si="20"/>
        <v>1.39</v>
      </c>
      <c r="AC116" s="5">
        <f t="shared" si="20"/>
        <v>1.14</v>
      </c>
      <c r="AD116" s="5">
        <f t="shared" si="20"/>
        <v>1.09</v>
      </c>
      <c r="AE116" s="5">
        <f t="shared" si="20"/>
        <v>0.92</v>
      </c>
      <c r="AF116" s="5">
        <f t="shared" si="20"/>
        <v>0.82</v>
      </c>
      <c r="AG116" s="5">
        <f t="shared" si="20"/>
        <v>0.74</v>
      </c>
      <c r="AH116" s="5">
        <f t="shared" si="17"/>
        <v>0.45</v>
      </c>
      <c r="AI116" s="5">
        <f t="shared" si="17"/>
        <v>0.28</v>
      </c>
      <c r="AJ116" s="5">
        <f t="shared" si="17"/>
        <v>0.2</v>
      </c>
    </row>
    <row r="117" spans="1:36">
      <c r="A117" t="str">
        <f>"casthouse_procurement_archetype_"&amp;TEXT(ROUND(Table21319[[#This Row],[2016]],1),"0.0")</f>
        <v>casthouse_procurement_archetype_18.8</v>
      </c>
      <c r="B117" s="5">
        <f t="shared" si="13"/>
        <v>18.8</v>
      </c>
      <c r="C117" s="5">
        <f t="shared" si="21"/>
        <v>18.8</v>
      </c>
      <c r="D117" s="5">
        <f t="shared" si="21"/>
        <v>18.8</v>
      </c>
      <c r="E117" s="5">
        <f t="shared" si="21"/>
        <v>18.34</v>
      </c>
      <c r="F117" s="5">
        <f t="shared" si="21"/>
        <v>17.24</v>
      </c>
      <c r="G117" s="5">
        <f t="shared" si="21"/>
        <v>17.39</v>
      </c>
      <c r="H117" s="5">
        <f t="shared" si="21"/>
        <v>16.91</v>
      </c>
      <c r="I117" s="5">
        <f t="shared" si="21"/>
        <v>15.98</v>
      </c>
      <c r="J117" s="5">
        <f t="shared" si="21"/>
        <v>15.46</v>
      </c>
      <c r="K117" s="5">
        <f t="shared" si="21"/>
        <v>14.93</v>
      </c>
      <c r="L117" s="5">
        <f t="shared" si="21"/>
        <v>14.08</v>
      </c>
      <c r="M117" s="5">
        <f t="shared" si="21"/>
        <v>13.98</v>
      </c>
      <c r="N117" s="5">
        <f t="shared" si="21"/>
        <v>13.28</v>
      </c>
      <c r="O117" s="5">
        <f t="shared" si="21"/>
        <v>12.56</v>
      </c>
      <c r="P117" s="5">
        <f t="shared" si="21"/>
        <v>11.72</v>
      </c>
      <c r="Q117" s="5">
        <f t="shared" si="21"/>
        <v>10.06</v>
      </c>
      <c r="R117" s="5">
        <f t="shared" si="21"/>
        <v>7.84</v>
      </c>
      <c r="S117" s="5">
        <f t="shared" si="20"/>
        <v>7.13</v>
      </c>
      <c r="T117" s="5">
        <f t="shared" si="20"/>
        <v>5.58</v>
      </c>
      <c r="U117" s="5">
        <f t="shared" si="20"/>
        <v>4.02</v>
      </c>
      <c r="V117" s="5">
        <f t="shared" si="20"/>
        <v>3.74</v>
      </c>
      <c r="W117" s="5">
        <f t="shared" si="20"/>
        <v>2.87</v>
      </c>
      <c r="X117" s="5">
        <f t="shared" si="20"/>
        <v>2.43</v>
      </c>
      <c r="Y117" s="5">
        <f t="shared" si="20"/>
        <v>1.97</v>
      </c>
      <c r="Z117" s="5">
        <f t="shared" si="20"/>
        <v>1.89</v>
      </c>
      <c r="AA117" s="5">
        <f t="shared" si="20"/>
        <v>1.69</v>
      </c>
      <c r="AB117" s="5">
        <f t="shared" si="20"/>
        <v>1.38</v>
      </c>
      <c r="AC117" s="5">
        <f t="shared" si="20"/>
        <v>1.13</v>
      </c>
      <c r="AD117" s="5">
        <f t="shared" si="20"/>
        <v>1.09</v>
      </c>
      <c r="AE117" s="5">
        <f t="shared" si="20"/>
        <v>0.92</v>
      </c>
      <c r="AF117" s="5">
        <f t="shared" si="20"/>
        <v>0.82</v>
      </c>
      <c r="AG117" s="5">
        <f t="shared" si="20"/>
        <v>0.74</v>
      </c>
      <c r="AH117" s="5">
        <f t="shared" si="17"/>
        <v>0.44</v>
      </c>
      <c r="AI117" s="5">
        <f t="shared" si="17"/>
        <v>0.28</v>
      </c>
      <c r="AJ117" s="5">
        <f t="shared" si="17"/>
        <v>0.2</v>
      </c>
    </row>
    <row r="118" spans="1:36">
      <c r="A118" t="str">
        <f>"casthouse_procurement_archetype_"&amp;TEXT(ROUND(Table21319[[#This Row],[2016]],1),"0.0")</f>
        <v>casthouse_procurement_archetype_18.7</v>
      </c>
      <c r="B118" s="5">
        <f t="shared" si="13"/>
        <v>18.7</v>
      </c>
      <c r="C118" s="5">
        <f t="shared" si="21"/>
        <v>18.7</v>
      </c>
      <c r="D118" s="5">
        <f t="shared" si="21"/>
        <v>18.7</v>
      </c>
      <c r="E118" s="5">
        <f t="shared" si="21"/>
        <v>18.24</v>
      </c>
      <c r="F118" s="5">
        <f t="shared" si="21"/>
        <v>17.14</v>
      </c>
      <c r="G118" s="5">
        <f t="shared" si="21"/>
        <v>17.3</v>
      </c>
      <c r="H118" s="5">
        <f t="shared" si="21"/>
        <v>16.82</v>
      </c>
      <c r="I118" s="5">
        <f t="shared" si="21"/>
        <v>15.9</v>
      </c>
      <c r="J118" s="5">
        <f t="shared" si="21"/>
        <v>15.38</v>
      </c>
      <c r="K118" s="5">
        <f t="shared" si="21"/>
        <v>14.85</v>
      </c>
      <c r="L118" s="5">
        <f t="shared" si="21"/>
        <v>14</v>
      </c>
      <c r="M118" s="5">
        <f t="shared" si="21"/>
        <v>13.9</v>
      </c>
      <c r="N118" s="5">
        <f t="shared" si="21"/>
        <v>13.21</v>
      </c>
      <c r="O118" s="5">
        <f t="shared" si="21"/>
        <v>12.5</v>
      </c>
      <c r="P118" s="5">
        <f t="shared" si="21"/>
        <v>11.65</v>
      </c>
      <c r="Q118" s="5">
        <f t="shared" si="21"/>
        <v>10.01</v>
      </c>
      <c r="R118" s="5">
        <f t="shared" si="21"/>
        <v>7.79</v>
      </c>
      <c r="S118" s="5">
        <f t="shared" si="20"/>
        <v>7.09</v>
      </c>
      <c r="T118" s="5">
        <f t="shared" si="20"/>
        <v>5.55</v>
      </c>
      <c r="U118" s="5">
        <f t="shared" si="20"/>
        <v>4</v>
      </c>
      <c r="V118" s="5">
        <f t="shared" si="20"/>
        <v>3.72</v>
      </c>
      <c r="W118" s="5">
        <f t="shared" si="20"/>
        <v>2.85</v>
      </c>
      <c r="X118" s="5">
        <f t="shared" si="20"/>
        <v>2.41</v>
      </c>
      <c r="Y118" s="5">
        <f t="shared" si="20"/>
        <v>1.96</v>
      </c>
      <c r="Z118" s="5">
        <f t="shared" si="20"/>
        <v>1.89</v>
      </c>
      <c r="AA118" s="5">
        <f t="shared" si="20"/>
        <v>1.68</v>
      </c>
      <c r="AB118" s="5">
        <f t="shared" si="20"/>
        <v>1.37</v>
      </c>
      <c r="AC118" s="5">
        <f t="shared" si="20"/>
        <v>1.13</v>
      </c>
      <c r="AD118" s="5">
        <f t="shared" si="20"/>
        <v>1.08</v>
      </c>
      <c r="AE118" s="5">
        <f t="shared" si="20"/>
        <v>0.92</v>
      </c>
      <c r="AF118" s="5">
        <f t="shared" si="20"/>
        <v>0.81</v>
      </c>
      <c r="AG118" s="5">
        <f t="shared" si="20"/>
        <v>0.74</v>
      </c>
      <c r="AH118" s="5">
        <f t="shared" si="17"/>
        <v>0.44</v>
      </c>
      <c r="AI118" s="5">
        <f t="shared" si="17"/>
        <v>0.28</v>
      </c>
      <c r="AJ118" s="5">
        <f t="shared" si="17"/>
        <v>0.2</v>
      </c>
    </row>
    <row r="119" spans="1:36">
      <c r="A119" t="str">
        <f>"casthouse_procurement_archetype_"&amp;TEXT(ROUND(Table21319[[#This Row],[2016]],1),"0.0")</f>
        <v>casthouse_procurement_archetype_18.6</v>
      </c>
      <c r="B119" s="5">
        <f t="shared" si="13"/>
        <v>18.6</v>
      </c>
      <c r="C119" s="5">
        <f t="shared" si="21"/>
        <v>18.6</v>
      </c>
      <c r="D119" s="5">
        <f t="shared" si="21"/>
        <v>18.6</v>
      </c>
      <c r="E119" s="5">
        <f t="shared" si="21"/>
        <v>18.15</v>
      </c>
      <c r="F119" s="5">
        <f t="shared" si="21"/>
        <v>17.05</v>
      </c>
      <c r="G119" s="5">
        <f t="shared" si="21"/>
        <v>17.21</v>
      </c>
      <c r="H119" s="5">
        <f t="shared" si="21"/>
        <v>16.73</v>
      </c>
      <c r="I119" s="5">
        <f t="shared" si="21"/>
        <v>15.81</v>
      </c>
      <c r="J119" s="5">
        <f t="shared" si="21"/>
        <v>15.3</v>
      </c>
      <c r="K119" s="5">
        <f t="shared" si="21"/>
        <v>14.77</v>
      </c>
      <c r="L119" s="5">
        <f t="shared" si="21"/>
        <v>13.93</v>
      </c>
      <c r="M119" s="5">
        <f t="shared" si="21"/>
        <v>13.83</v>
      </c>
      <c r="N119" s="5">
        <f t="shared" si="21"/>
        <v>13.14</v>
      </c>
      <c r="O119" s="5">
        <f t="shared" si="21"/>
        <v>12.43</v>
      </c>
      <c r="P119" s="5">
        <f t="shared" si="21"/>
        <v>11.59</v>
      </c>
      <c r="Q119" s="5">
        <f t="shared" si="21"/>
        <v>9.96</v>
      </c>
      <c r="R119" s="5">
        <f t="shared" si="21"/>
        <v>7.75</v>
      </c>
      <c r="S119" s="5">
        <f t="shared" si="20"/>
        <v>7.05</v>
      </c>
      <c r="T119" s="5">
        <f t="shared" si="20"/>
        <v>5.52</v>
      </c>
      <c r="U119" s="5">
        <f t="shared" si="20"/>
        <v>3.98</v>
      </c>
      <c r="V119" s="5">
        <f t="shared" si="20"/>
        <v>3.7</v>
      </c>
      <c r="W119" s="5">
        <f t="shared" si="20"/>
        <v>2.84</v>
      </c>
      <c r="X119" s="5">
        <f t="shared" si="20"/>
        <v>2.4</v>
      </c>
      <c r="Y119" s="5">
        <f t="shared" si="20"/>
        <v>1.95</v>
      </c>
      <c r="Z119" s="5">
        <f t="shared" si="20"/>
        <v>1.88</v>
      </c>
      <c r="AA119" s="5">
        <f t="shared" si="20"/>
        <v>1.67</v>
      </c>
      <c r="AB119" s="5">
        <f t="shared" si="20"/>
        <v>1.37</v>
      </c>
      <c r="AC119" s="5">
        <f t="shared" si="20"/>
        <v>1.12</v>
      </c>
      <c r="AD119" s="5">
        <f t="shared" si="20"/>
        <v>1.08</v>
      </c>
      <c r="AE119" s="5">
        <f t="shared" si="20"/>
        <v>0.91</v>
      </c>
      <c r="AF119" s="5">
        <f t="shared" si="20"/>
        <v>0.81</v>
      </c>
      <c r="AG119" s="5">
        <f t="shared" si="20"/>
        <v>0.73</v>
      </c>
      <c r="AH119" s="5">
        <f t="shared" si="17"/>
        <v>0.44</v>
      </c>
      <c r="AI119" s="5">
        <f t="shared" si="17"/>
        <v>0.28</v>
      </c>
      <c r="AJ119" s="5">
        <f t="shared" si="17"/>
        <v>0.2</v>
      </c>
    </row>
    <row r="120" spans="1:36">
      <c r="A120" t="str">
        <f>"casthouse_procurement_archetype_"&amp;TEXT(ROUND(Table21319[[#This Row],[2016]],1),"0.0")</f>
        <v>casthouse_procurement_archetype_18.5</v>
      </c>
      <c r="B120" s="5">
        <f t="shared" si="13"/>
        <v>18.5</v>
      </c>
      <c r="C120" s="5">
        <f t="shared" si="21"/>
        <v>18.5</v>
      </c>
      <c r="D120" s="5">
        <f t="shared" si="21"/>
        <v>18.5</v>
      </c>
      <c r="E120" s="5">
        <f t="shared" si="21"/>
        <v>18.05</v>
      </c>
      <c r="F120" s="5">
        <f t="shared" si="21"/>
        <v>16.96</v>
      </c>
      <c r="G120" s="5">
        <f t="shared" si="21"/>
        <v>17.11</v>
      </c>
      <c r="H120" s="5">
        <f t="shared" si="21"/>
        <v>16.64</v>
      </c>
      <c r="I120" s="5">
        <f t="shared" si="21"/>
        <v>15.73</v>
      </c>
      <c r="J120" s="5">
        <f t="shared" si="21"/>
        <v>15.21</v>
      </c>
      <c r="K120" s="5">
        <f t="shared" si="21"/>
        <v>14.69</v>
      </c>
      <c r="L120" s="5">
        <f t="shared" si="21"/>
        <v>13.86</v>
      </c>
      <c r="M120" s="5">
        <f t="shared" si="21"/>
        <v>13.75</v>
      </c>
      <c r="N120" s="5">
        <f t="shared" si="21"/>
        <v>13.07</v>
      </c>
      <c r="O120" s="5">
        <f t="shared" si="21"/>
        <v>12.37</v>
      </c>
      <c r="P120" s="5">
        <f t="shared" si="21"/>
        <v>11.53</v>
      </c>
      <c r="Q120" s="5">
        <f t="shared" si="21"/>
        <v>9.9</v>
      </c>
      <c r="R120" s="5">
        <f t="shared" si="21"/>
        <v>7.71</v>
      </c>
      <c r="S120" s="5">
        <f t="shared" si="20"/>
        <v>7.01</v>
      </c>
      <c r="T120" s="5">
        <f t="shared" si="20"/>
        <v>5.49</v>
      </c>
      <c r="U120" s="5">
        <f t="shared" si="20"/>
        <v>3.96</v>
      </c>
      <c r="V120" s="5">
        <f t="shared" si="20"/>
        <v>3.68</v>
      </c>
      <c r="W120" s="5">
        <f t="shared" si="20"/>
        <v>2.82</v>
      </c>
      <c r="X120" s="5">
        <f t="shared" si="20"/>
        <v>2.39</v>
      </c>
      <c r="Y120" s="5">
        <f t="shared" si="20"/>
        <v>1.94</v>
      </c>
      <c r="Z120" s="5">
        <f t="shared" si="20"/>
        <v>1.87</v>
      </c>
      <c r="AA120" s="5">
        <f t="shared" si="20"/>
        <v>1.66</v>
      </c>
      <c r="AB120" s="5">
        <f t="shared" si="20"/>
        <v>1.36</v>
      </c>
      <c r="AC120" s="5">
        <f t="shared" si="20"/>
        <v>1.12</v>
      </c>
      <c r="AD120" s="5">
        <f t="shared" si="20"/>
        <v>1.08</v>
      </c>
      <c r="AE120" s="5">
        <f t="shared" si="20"/>
        <v>0.91</v>
      </c>
      <c r="AF120" s="5">
        <f t="shared" si="20"/>
        <v>0.81</v>
      </c>
      <c r="AG120" s="5">
        <f t="shared" si="20"/>
        <v>0.73</v>
      </c>
      <c r="AH120" s="5">
        <f t="shared" si="17"/>
        <v>0.44</v>
      </c>
      <c r="AI120" s="5">
        <f t="shared" si="17"/>
        <v>0.28</v>
      </c>
      <c r="AJ120" s="5">
        <f t="shared" si="17"/>
        <v>0.2</v>
      </c>
    </row>
    <row r="121" spans="1:36">
      <c r="A121" t="str">
        <f>"casthouse_procurement_archetype_"&amp;TEXT(ROUND(Table21319[[#This Row],[2016]],1),"0.0")</f>
        <v>casthouse_procurement_archetype_18.4</v>
      </c>
      <c r="B121" s="5">
        <f t="shared" si="13"/>
        <v>18.4</v>
      </c>
      <c r="C121" s="5">
        <f t="shared" si="21"/>
        <v>18.4</v>
      </c>
      <c r="D121" s="5">
        <f t="shared" si="21"/>
        <v>18.4</v>
      </c>
      <c r="E121" s="5">
        <f t="shared" si="21"/>
        <v>17.95</v>
      </c>
      <c r="F121" s="5">
        <f t="shared" si="21"/>
        <v>16.87</v>
      </c>
      <c r="G121" s="5">
        <f t="shared" si="21"/>
        <v>17.02</v>
      </c>
      <c r="H121" s="5">
        <f t="shared" si="21"/>
        <v>16.55</v>
      </c>
      <c r="I121" s="5">
        <f t="shared" si="21"/>
        <v>15.64</v>
      </c>
      <c r="J121" s="5">
        <f t="shared" si="21"/>
        <v>15.13</v>
      </c>
      <c r="K121" s="5">
        <f t="shared" si="21"/>
        <v>14.61</v>
      </c>
      <c r="L121" s="5">
        <f t="shared" si="21"/>
        <v>13.78</v>
      </c>
      <c r="M121" s="5">
        <f t="shared" si="21"/>
        <v>13.68</v>
      </c>
      <c r="N121" s="5">
        <f t="shared" si="21"/>
        <v>13</v>
      </c>
      <c r="O121" s="5">
        <f t="shared" si="21"/>
        <v>12.3</v>
      </c>
      <c r="P121" s="5">
        <f t="shared" si="21"/>
        <v>11.47</v>
      </c>
      <c r="Q121" s="5">
        <f t="shared" si="21"/>
        <v>9.85</v>
      </c>
      <c r="R121" s="5">
        <f t="shared" si="21"/>
        <v>7.67</v>
      </c>
      <c r="S121" s="5">
        <f t="shared" si="20"/>
        <v>6.98</v>
      </c>
      <c r="T121" s="5">
        <f t="shared" si="20"/>
        <v>5.47</v>
      </c>
      <c r="U121" s="5">
        <f t="shared" si="20"/>
        <v>3.94</v>
      </c>
      <c r="V121" s="5">
        <f t="shared" si="20"/>
        <v>3.66</v>
      </c>
      <c r="W121" s="5">
        <f t="shared" si="20"/>
        <v>2.81</v>
      </c>
      <c r="X121" s="5">
        <f t="shared" si="20"/>
        <v>2.38</v>
      </c>
      <c r="Y121" s="5">
        <f t="shared" si="20"/>
        <v>1.93</v>
      </c>
      <c r="Z121" s="5">
        <f t="shared" si="20"/>
        <v>1.86</v>
      </c>
      <c r="AA121" s="5">
        <f t="shared" si="20"/>
        <v>1.65</v>
      </c>
      <c r="AB121" s="5">
        <f t="shared" si="20"/>
        <v>1.36</v>
      </c>
      <c r="AC121" s="5">
        <f t="shared" si="20"/>
        <v>1.11</v>
      </c>
      <c r="AD121" s="5">
        <f t="shared" si="20"/>
        <v>1.07</v>
      </c>
      <c r="AE121" s="5">
        <f t="shared" si="20"/>
        <v>0.91</v>
      </c>
      <c r="AF121" s="5">
        <f t="shared" si="20"/>
        <v>0.8</v>
      </c>
      <c r="AG121" s="5">
        <f t="shared" si="20"/>
        <v>0.73</v>
      </c>
      <c r="AH121" s="5">
        <f t="shared" si="17"/>
        <v>0.44</v>
      </c>
      <c r="AI121" s="5">
        <f t="shared" si="17"/>
        <v>0.28</v>
      </c>
      <c r="AJ121" s="5">
        <f t="shared" si="17"/>
        <v>0.2</v>
      </c>
    </row>
    <row r="122" spans="1:36">
      <c r="A122" t="str">
        <f>"casthouse_procurement_archetype_"&amp;TEXT(ROUND(Table21319[[#This Row],[2016]],1),"0.0")</f>
        <v>casthouse_procurement_archetype_18.3</v>
      </c>
      <c r="B122" s="5">
        <f t="shared" si="13"/>
        <v>18.3</v>
      </c>
      <c r="C122" s="5">
        <f t="shared" si="21"/>
        <v>18.3</v>
      </c>
      <c r="D122" s="5">
        <f t="shared" si="21"/>
        <v>18.3</v>
      </c>
      <c r="E122" s="5">
        <f t="shared" si="21"/>
        <v>17.85</v>
      </c>
      <c r="F122" s="5">
        <f t="shared" si="21"/>
        <v>16.78</v>
      </c>
      <c r="G122" s="5">
        <f t="shared" si="21"/>
        <v>16.93</v>
      </c>
      <c r="H122" s="5">
        <f t="shared" si="21"/>
        <v>16.46</v>
      </c>
      <c r="I122" s="5">
        <f t="shared" si="21"/>
        <v>15.56</v>
      </c>
      <c r="J122" s="5">
        <f t="shared" si="21"/>
        <v>15.05</v>
      </c>
      <c r="K122" s="5">
        <f t="shared" si="21"/>
        <v>14.53</v>
      </c>
      <c r="L122" s="5">
        <f t="shared" si="21"/>
        <v>13.71</v>
      </c>
      <c r="M122" s="5">
        <f t="shared" si="21"/>
        <v>13.61</v>
      </c>
      <c r="N122" s="5">
        <f t="shared" si="21"/>
        <v>12.93</v>
      </c>
      <c r="O122" s="5">
        <f t="shared" si="21"/>
        <v>12.23</v>
      </c>
      <c r="P122" s="5">
        <f t="shared" si="21"/>
        <v>11.41</v>
      </c>
      <c r="Q122" s="5">
        <f t="shared" si="21"/>
        <v>9.8</v>
      </c>
      <c r="R122" s="5">
        <f t="shared" si="21"/>
        <v>7.63</v>
      </c>
      <c r="S122" s="5">
        <f t="shared" si="20"/>
        <v>6.94</v>
      </c>
      <c r="T122" s="5">
        <f t="shared" si="20"/>
        <v>5.44</v>
      </c>
      <c r="U122" s="5">
        <f t="shared" si="20"/>
        <v>3.92</v>
      </c>
      <c r="V122" s="5">
        <f t="shared" si="20"/>
        <v>3.64</v>
      </c>
      <c r="W122" s="5">
        <f t="shared" si="20"/>
        <v>2.8</v>
      </c>
      <c r="X122" s="5">
        <f t="shared" si="20"/>
        <v>2.37</v>
      </c>
      <c r="Y122" s="5">
        <f t="shared" si="20"/>
        <v>1.92</v>
      </c>
      <c r="Z122" s="5">
        <f t="shared" si="20"/>
        <v>1.85</v>
      </c>
      <c r="AA122" s="5">
        <f t="shared" si="20"/>
        <v>1.65</v>
      </c>
      <c r="AB122" s="5">
        <f t="shared" si="20"/>
        <v>1.35</v>
      </c>
      <c r="AC122" s="5">
        <f t="shared" si="20"/>
        <v>1.11</v>
      </c>
      <c r="AD122" s="5">
        <f t="shared" si="20"/>
        <v>1.07</v>
      </c>
      <c r="AE122" s="5">
        <f t="shared" si="20"/>
        <v>0.9</v>
      </c>
      <c r="AF122" s="5">
        <f t="shared" si="20"/>
        <v>0.8</v>
      </c>
      <c r="AG122" s="5">
        <f t="shared" si="20"/>
        <v>0.72</v>
      </c>
      <c r="AH122" s="5">
        <f t="shared" si="17"/>
        <v>0.44</v>
      </c>
      <c r="AI122" s="5">
        <f t="shared" si="17"/>
        <v>0.28</v>
      </c>
      <c r="AJ122" s="5">
        <f t="shared" si="17"/>
        <v>0.2</v>
      </c>
    </row>
    <row r="123" spans="1:36">
      <c r="A123" t="str">
        <f>"casthouse_procurement_archetype_"&amp;TEXT(ROUND(Table21319[[#This Row],[2016]],1),"0.0")</f>
        <v>casthouse_procurement_archetype_18.2</v>
      </c>
      <c r="B123" s="5">
        <f t="shared" si="13"/>
        <v>18.2</v>
      </c>
      <c r="C123" s="5">
        <f t="shared" si="21"/>
        <v>18.2</v>
      </c>
      <c r="D123" s="5">
        <f t="shared" si="21"/>
        <v>18.2</v>
      </c>
      <c r="E123" s="5">
        <f t="shared" si="21"/>
        <v>17.76</v>
      </c>
      <c r="F123" s="5">
        <f t="shared" si="21"/>
        <v>16.69</v>
      </c>
      <c r="G123" s="5">
        <f t="shared" si="21"/>
        <v>16.84</v>
      </c>
      <c r="H123" s="5">
        <f t="shared" si="21"/>
        <v>16.37</v>
      </c>
      <c r="I123" s="5">
        <f t="shared" si="21"/>
        <v>15.47</v>
      </c>
      <c r="J123" s="5">
        <f t="shared" si="21"/>
        <v>14.97</v>
      </c>
      <c r="K123" s="5">
        <f t="shared" si="21"/>
        <v>14.45</v>
      </c>
      <c r="L123" s="5">
        <f t="shared" si="21"/>
        <v>13.63</v>
      </c>
      <c r="M123" s="5">
        <f t="shared" si="21"/>
        <v>13.53</v>
      </c>
      <c r="N123" s="5">
        <f t="shared" si="21"/>
        <v>12.86</v>
      </c>
      <c r="O123" s="5">
        <f t="shared" si="21"/>
        <v>12.17</v>
      </c>
      <c r="P123" s="5">
        <f t="shared" si="21"/>
        <v>11.34</v>
      </c>
      <c r="Q123" s="5">
        <f t="shared" si="21"/>
        <v>9.75</v>
      </c>
      <c r="R123" s="5">
        <f t="shared" si="21"/>
        <v>7.59</v>
      </c>
      <c r="S123" s="5">
        <f t="shared" si="20"/>
        <v>6.9</v>
      </c>
      <c r="T123" s="5">
        <f t="shared" si="20"/>
        <v>5.41</v>
      </c>
      <c r="U123" s="5">
        <f t="shared" si="20"/>
        <v>3.9</v>
      </c>
      <c r="V123" s="5">
        <f t="shared" si="20"/>
        <v>3.62</v>
      </c>
      <c r="W123" s="5">
        <f t="shared" si="20"/>
        <v>2.78</v>
      </c>
      <c r="X123" s="5">
        <f t="shared" si="20"/>
        <v>2.35</v>
      </c>
      <c r="Y123" s="5">
        <f t="shared" si="20"/>
        <v>1.91</v>
      </c>
      <c r="Z123" s="5">
        <f t="shared" si="20"/>
        <v>1.84</v>
      </c>
      <c r="AA123" s="5">
        <f t="shared" si="20"/>
        <v>1.64</v>
      </c>
      <c r="AB123" s="5">
        <f t="shared" si="20"/>
        <v>1.34</v>
      </c>
      <c r="AC123" s="5">
        <f t="shared" si="20"/>
        <v>1.1</v>
      </c>
      <c r="AD123" s="5">
        <f t="shared" si="20"/>
        <v>1.06</v>
      </c>
      <c r="AE123" s="5">
        <f t="shared" si="20"/>
        <v>0.9</v>
      </c>
      <c r="AF123" s="5">
        <f t="shared" si="20"/>
        <v>0.8</v>
      </c>
      <c r="AG123" s="5">
        <f t="shared" si="20"/>
        <v>0.72</v>
      </c>
      <c r="AH123" s="5">
        <f t="shared" si="17"/>
        <v>0.44</v>
      </c>
      <c r="AI123" s="5">
        <f t="shared" si="17"/>
        <v>0.28</v>
      </c>
      <c r="AJ123" s="5">
        <f t="shared" si="17"/>
        <v>0.2</v>
      </c>
    </row>
    <row r="124" spans="1:36">
      <c r="A124" t="str">
        <f>"casthouse_procurement_archetype_"&amp;TEXT(ROUND(Table21319[[#This Row],[2016]],1),"0.0")</f>
        <v>casthouse_procurement_archetype_18.1</v>
      </c>
      <c r="B124" s="5">
        <f t="shared" si="13"/>
        <v>18.1</v>
      </c>
      <c r="C124" s="5">
        <f t="shared" si="21"/>
        <v>18.1</v>
      </c>
      <c r="D124" s="5">
        <f t="shared" si="21"/>
        <v>18.1</v>
      </c>
      <c r="E124" s="5">
        <f t="shared" si="21"/>
        <v>17.66</v>
      </c>
      <c r="F124" s="5">
        <f t="shared" si="21"/>
        <v>16.6</v>
      </c>
      <c r="G124" s="5">
        <f t="shared" si="21"/>
        <v>16.74</v>
      </c>
      <c r="H124" s="5">
        <f t="shared" si="21"/>
        <v>16.28</v>
      </c>
      <c r="I124" s="5">
        <f t="shared" si="21"/>
        <v>15.39</v>
      </c>
      <c r="J124" s="5">
        <f t="shared" si="21"/>
        <v>14.89</v>
      </c>
      <c r="K124" s="5">
        <f t="shared" si="21"/>
        <v>14.37</v>
      </c>
      <c r="L124" s="5">
        <f t="shared" si="21"/>
        <v>13.56</v>
      </c>
      <c r="M124" s="5">
        <f t="shared" si="21"/>
        <v>13.46</v>
      </c>
      <c r="N124" s="5">
        <f t="shared" si="21"/>
        <v>12.79</v>
      </c>
      <c r="O124" s="5">
        <f t="shared" si="21"/>
        <v>12.1</v>
      </c>
      <c r="P124" s="5">
        <f t="shared" si="21"/>
        <v>11.28</v>
      </c>
      <c r="Q124" s="5">
        <f t="shared" si="21"/>
        <v>9.69</v>
      </c>
      <c r="R124" s="5">
        <f t="shared" ref="R124:AG139" si="22">MROUND((($B124-$AJ$2)*((R$2-$AJ$2)/($B$2-$AJ$2)))+$AJ$2,0.01)</f>
        <v>7.55</v>
      </c>
      <c r="S124" s="5">
        <f t="shared" si="22"/>
        <v>6.86</v>
      </c>
      <c r="T124" s="5">
        <f t="shared" si="22"/>
        <v>5.38</v>
      </c>
      <c r="U124" s="5">
        <f t="shared" si="22"/>
        <v>3.88</v>
      </c>
      <c r="V124" s="5">
        <f t="shared" si="22"/>
        <v>3.6</v>
      </c>
      <c r="W124" s="5">
        <f t="shared" si="22"/>
        <v>2.77</v>
      </c>
      <c r="X124" s="5">
        <f t="shared" si="22"/>
        <v>2.34</v>
      </c>
      <c r="Y124" s="5">
        <f t="shared" si="22"/>
        <v>1.9</v>
      </c>
      <c r="Z124" s="5">
        <f t="shared" si="22"/>
        <v>1.83</v>
      </c>
      <c r="AA124" s="5">
        <f t="shared" si="22"/>
        <v>1.63</v>
      </c>
      <c r="AB124" s="5">
        <f t="shared" si="22"/>
        <v>1.34</v>
      </c>
      <c r="AC124" s="5">
        <f t="shared" si="22"/>
        <v>1.1</v>
      </c>
      <c r="AD124" s="5">
        <f t="shared" si="22"/>
        <v>1.06</v>
      </c>
      <c r="AE124" s="5">
        <f t="shared" si="22"/>
        <v>0.89</v>
      </c>
      <c r="AF124" s="5">
        <f t="shared" si="22"/>
        <v>0.79</v>
      </c>
      <c r="AG124" s="5">
        <f t="shared" si="22"/>
        <v>0.72</v>
      </c>
      <c r="AH124" s="5">
        <f t="shared" si="17"/>
        <v>0.44</v>
      </c>
      <c r="AI124" s="5">
        <f t="shared" si="17"/>
        <v>0.28</v>
      </c>
      <c r="AJ124" s="5">
        <f t="shared" si="17"/>
        <v>0.2</v>
      </c>
    </row>
    <row r="125" spans="1:36">
      <c r="A125" t="str">
        <f>"casthouse_procurement_archetype_"&amp;TEXT(ROUND(Table21319[[#This Row],[2016]],1),"0.0")</f>
        <v>casthouse_procurement_archetype_18.0</v>
      </c>
      <c r="B125" s="5">
        <f t="shared" si="13"/>
        <v>18</v>
      </c>
      <c r="C125" s="5">
        <f t="shared" ref="C125:R140" si="23">MROUND((($B125-$AJ$2)*((C$2-$AJ$2)/($B$2-$AJ$2)))+$AJ$2,0.01)</f>
        <v>18</v>
      </c>
      <c r="D125" s="5">
        <f t="shared" si="23"/>
        <v>18</v>
      </c>
      <c r="E125" s="5">
        <f t="shared" si="23"/>
        <v>17.56</v>
      </c>
      <c r="F125" s="5">
        <f t="shared" si="23"/>
        <v>16.5</v>
      </c>
      <c r="G125" s="5">
        <f t="shared" si="23"/>
        <v>16.65</v>
      </c>
      <c r="H125" s="5">
        <f t="shared" si="23"/>
        <v>16.19</v>
      </c>
      <c r="I125" s="5">
        <f t="shared" si="23"/>
        <v>15.3</v>
      </c>
      <c r="J125" s="5">
        <f t="shared" si="23"/>
        <v>14.8</v>
      </c>
      <c r="K125" s="5">
        <f t="shared" si="23"/>
        <v>14.29</v>
      </c>
      <c r="L125" s="5">
        <f t="shared" si="23"/>
        <v>13.48</v>
      </c>
      <c r="M125" s="5">
        <f t="shared" si="23"/>
        <v>13.38</v>
      </c>
      <c r="N125" s="5">
        <f t="shared" si="23"/>
        <v>12.72</v>
      </c>
      <c r="O125" s="5">
        <f t="shared" si="23"/>
        <v>12.03</v>
      </c>
      <c r="P125" s="5">
        <f t="shared" si="23"/>
        <v>11.22</v>
      </c>
      <c r="Q125" s="5">
        <f t="shared" si="23"/>
        <v>9.64</v>
      </c>
      <c r="R125" s="5">
        <f t="shared" si="23"/>
        <v>7.51</v>
      </c>
      <c r="S125" s="5">
        <f t="shared" si="22"/>
        <v>6.83</v>
      </c>
      <c r="T125" s="5">
        <f t="shared" si="22"/>
        <v>5.35</v>
      </c>
      <c r="U125" s="5">
        <f t="shared" si="22"/>
        <v>3.86</v>
      </c>
      <c r="V125" s="5">
        <f t="shared" si="22"/>
        <v>3.58</v>
      </c>
      <c r="W125" s="5">
        <f t="shared" si="22"/>
        <v>2.75</v>
      </c>
      <c r="X125" s="5">
        <f t="shared" si="22"/>
        <v>2.33</v>
      </c>
      <c r="Y125" s="5">
        <f t="shared" si="22"/>
        <v>1.89</v>
      </c>
      <c r="Z125" s="5">
        <f t="shared" si="22"/>
        <v>1.82</v>
      </c>
      <c r="AA125" s="5">
        <f t="shared" si="22"/>
        <v>1.62</v>
      </c>
      <c r="AB125" s="5">
        <f t="shared" si="22"/>
        <v>1.33</v>
      </c>
      <c r="AC125" s="5">
        <f t="shared" si="22"/>
        <v>1.09</v>
      </c>
      <c r="AD125" s="5">
        <f t="shared" si="22"/>
        <v>1.05</v>
      </c>
      <c r="AE125" s="5">
        <f t="shared" si="22"/>
        <v>0.89</v>
      </c>
      <c r="AF125" s="5">
        <f t="shared" si="22"/>
        <v>0.79</v>
      </c>
      <c r="AG125" s="5">
        <f t="shared" si="22"/>
        <v>0.72</v>
      </c>
      <c r="AH125" s="5">
        <f t="shared" si="17"/>
        <v>0.43</v>
      </c>
      <c r="AI125" s="5">
        <f t="shared" si="17"/>
        <v>0.28</v>
      </c>
      <c r="AJ125" s="5">
        <f t="shared" si="17"/>
        <v>0.2</v>
      </c>
    </row>
    <row r="126" spans="1:36">
      <c r="A126" t="str">
        <f>"casthouse_procurement_archetype_"&amp;TEXT(ROUND(Table21319[[#This Row],[2016]],1),"0.0")</f>
        <v>casthouse_procurement_archetype_17.9</v>
      </c>
      <c r="B126" s="5">
        <f t="shared" si="13"/>
        <v>17.9</v>
      </c>
      <c r="C126" s="5">
        <f t="shared" si="23"/>
        <v>17.9</v>
      </c>
      <c r="D126" s="5">
        <f t="shared" si="23"/>
        <v>17.9</v>
      </c>
      <c r="E126" s="5">
        <f t="shared" si="23"/>
        <v>17.46</v>
      </c>
      <c r="F126" s="5">
        <f t="shared" si="23"/>
        <v>16.41</v>
      </c>
      <c r="G126" s="5">
        <f t="shared" si="23"/>
        <v>16.56</v>
      </c>
      <c r="H126" s="5">
        <f t="shared" si="23"/>
        <v>16.1</v>
      </c>
      <c r="I126" s="5">
        <f t="shared" si="23"/>
        <v>15.22</v>
      </c>
      <c r="J126" s="5">
        <f t="shared" si="23"/>
        <v>14.72</v>
      </c>
      <c r="K126" s="5">
        <f t="shared" si="23"/>
        <v>14.21</v>
      </c>
      <c r="L126" s="5">
        <f t="shared" si="23"/>
        <v>13.41</v>
      </c>
      <c r="M126" s="5">
        <f t="shared" si="23"/>
        <v>13.31</v>
      </c>
      <c r="N126" s="5">
        <f t="shared" si="23"/>
        <v>12.65</v>
      </c>
      <c r="O126" s="5">
        <f t="shared" si="23"/>
        <v>11.97</v>
      </c>
      <c r="P126" s="5">
        <f t="shared" si="23"/>
        <v>11.16</v>
      </c>
      <c r="Q126" s="5">
        <f t="shared" si="23"/>
        <v>9.59</v>
      </c>
      <c r="R126" s="5">
        <f t="shared" si="23"/>
        <v>7.47</v>
      </c>
      <c r="S126" s="5">
        <f t="shared" si="22"/>
        <v>6.79</v>
      </c>
      <c r="T126" s="5">
        <f t="shared" si="22"/>
        <v>5.32</v>
      </c>
      <c r="U126" s="5">
        <f t="shared" si="22"/>
        <v>3.84</v>
      </c>
      <c r="V126" s="5">
        <f t="shared" si="22"/>
        <v>3.57</v>
      </c>
      <c r="W126" s="5">
        <f t="shared" si="22"/>
        <v>2.74</v>
      </c>
      <c r="X126" s="5">
        <f t="shared" si="22"/>
        <v>2.32</v>
      </c>
      <c r="Y126" s="5">
        <f t="shared" si="22"/>
        <v>1.88</v>
      </c>
      <c r="Z126" s="5">
        <f t="shared" si="22"/>
        <v>1.81</v>
      </c>
      <c r="AA126" s="5">
        <f t="shared" si="22"/>
        <v>1.61</v>
      </c>
      <c r="AB126" s="5">
        <f t="shared" si="22"/>
        <v>1.32</v>
      </c>
      <c r="AC126" s="5">
        <f t="shared" si="22"/>
        <v>1.09</v>
      </c>
      <c r="AD126" s="5">
        <f t="shared" si="22"/>
        <v>1.05</v>
      </c>
      <c r="AE126" s="5">
        <f t="shared" si="22"/>
        <v>0.89</v>
      </c>
      <c r="AF126" s="5">
        <f t="shared" si="22"/>
        <v>0.79</v>
      </c>
      <c r="AG126" s="5">
        <f t="shared" si="22"/>
        <v>0.71</v>
      </c>
      <c r="AH126" s="5">
        <f t="shared" si="17"/>
        <v>0.43</v>
      </c>
      <c r="AI126" s="5">
        <f t="shared" si="17"/>
        <v>0.28</v>
      </c>
      <c r="AJ126" s="5">
        <f t="shared" si="17"/>
        <v>0.2</v>
      </c>
    </row>
    <row r="127" spans="1:36">
      <c r="A127" t="str">
        <f>"casthouse_procurement_archetype_"&amp;TEXT(ROUND(Table21319[[#This Row],[2016]],1),"0.0")</f>
        <v>casthouse_procurement_archetype_17.8</v>
      </c>
      <c r="B127" s="5">
        <f t="shared" si="13"/>
        <v>17.8</v>
      </c>
      <c r="C127" s="5">
        <f t="shared" si="23"/>
        <v>17.8</v>
      </c>
      <c r="D127" s="5">
        <f t="shared" si="23"/>
        <v>17.8</v>
      </c>
      <c r="E127" s="5">
        <f t="shared" si="23"/>
        <v>17.37</v>
      </c>
      <c r="F127" s="5">
        <f t="shared" si="23"/>
        <v>16.32</v>
      </c>
      <c r="G127" s="5">
        <f t="shared" si="23"/>
        <v>16.47</v>
      </c>
      <c r="H127" s="5">
        <f t="shared" si="23"/>
        <v>16.01</v>
      </c>
      <c r="I127" s="5">
        <f t="shared" si="23"/>
        <v>15.13</v>
      </c>
      <c r="J127" s="5">
        <f t="shared" si="23"/>
        <v>14.64</v>
      </c>
      <c r="K127" s="5">
        <f t="shared" si="23"/>
        <v>14.13</v>
      </c>
      <c r="L127" s="5">
        <f t="shared" si="23"/>
        <v>13.33</v>
      </c>
      <c r="M127" s="5">
        <f t="shared" si="23"/>
        <v>13.24</v>
      </c>
      <c r="N127" s="5">
        <f t="shared" si="23"/>
        <v>12.58</v>
      </c>
      <c r="O127" s="5">
        <f t="shared" si="23"/>
        <v>11.9</v>
      </c>
      <c r="P127" s="5">
        <f t="shared" si="23"/>
        <v>11.1</v>
      </c>
      <c r="Q127" s="5">
        <f t="shared" si="23"/>
        <v>9.53</v>
      </c>
      <c r="R127" s="5">
        <f t="shared" si="23"/>
        <v>7.43</v>
      </c>
      <c r="S127" s="5">
        <f t="shared" si="22"/>
        <v>6.75</v>
      </c>
      <c r="T127" s="5">
        <f t="shared" si="22"/>
        <v>5.29</v>
      </c>
      <c r="U127" s="5">
        <f t="shared" si="22"/>
        <v>3.82</v>
      </c>
      <c r="V127" s="5">
        <f t="shared" si="22"/>
        <v>3.55</v>
      </c>
      <c r="W127" s="5">
        <f t="shared" si="22"/>
        <v>2.72</v>
      </c>
      <c r="X127" s="5">
        <f t="shared" si="22"/>
        <v>2.31</v>
      </c>
      <c r="Y127" s="5">
        <f t="shared" si="22"/>
        <v>1.87</v>
      </c>
      <c r="Z127" s="5">
        <f t="shared" si="22"/>
        <v>1.8</v>
      </c>
      <c r="AA127" s="5">
        <f t="shared" si="22"/>
        <v>1.61</v>
      </c>
      <c r="AB127" s="5">
        <f t="shared" si="22"/>
        <v>1.32</v>
      </c>
      <c r="AC127" s="5">
        <f t="shared" si="22"/>
        <v>1.08</v>
      </c>
      <c r="AD127" s="5">
        <f t="shared" si="22"/>
        <v>1.04</v>
      </c>
      <c r="AE127" s="5">
        <f t="shared" si="22"/>
        <v>0.88</v>
      </c>
      <c r="AF127" s="5">
        <f t="shared" si="22"/>
        <v>0.78</v>
      </c>
      <c r="AG127" s="5">
        <f t="shared" si="22"/>
        <v>0.71</v>
      </c>
      <c r="AH127" s="5">
        <f t="shared" si="17"/>
        <v>0.43</v>
      </c>
      <c r="AI127" s="5">
        <f t="shared" si="17"/>
        <v>0.27</v>
      </c>
      <c r="AJ127" s="5">
        <f t="shared" si="17"/>
        <v>0.2</v>
      </c>
    </row>
    <row r="128" spans="1:36">
      <c r="A128" t="str">
        <f>"casthouse_procurement_archetype_"&amp;TEXT(ROUND(Table21319[[#This Row],[2016]],1),"0.0")</f>
        <v>casthouse_procurement_archetype_17.7</v>
      </c>
      <c r="B128" s="5">
        <f t="shared" si="13"/>
        <v>17.7</v>
      </c>
      <c r="C128" s="5">
        <f t="shared" si="23"/>
        <v>17.7</v>
      </c>
      <c r="D128" s="5">
        <f t="shared" si="23"/>
        <v>17.7</v>
      </c>
      <c r="E128" s="5">
        <f t="shared" si="23"/>
        <v>17.27</v>
      </c>
      <c r="F128" s="5">
        <f t="shared" si="23"/>
        <v>16.23</v>
      </c>
      <c r="G128" s="5">
        <f t="shared" si="23"/>
        <v>16.37</v>
      </c>
      <c r="H128" s="5">
        <f t="shared" si="23"/>
        <v>15.92</v>
      </c>
      <c r="I128" s="5">
        <f t="shared" si="23"/>
        <v>15.05</v>
      </c>
      <c r="J128" s="5">
        <f t="shared" si="23"/>
        <v>14.56</v>
      </c>
      <c r="K128" s="5">
        <f t="shared" si="23"/>
        <v>14.05</v>
      </c>
      <c r="L128" s="5">
        <f t="shared" si="23"/>
        <v>13.26</v>
      </c>
      <c r="M128" s="5">
        <f t="shared" si="23"/>
        <v>13.16</v>
      </c>
      <c r="N128" s="5">
        <f t="shared" si="23"/>
        <v>12.51</v>
      </c>
      <c r="O128" s="5">
        <f t="shared" si="23"/>
        <v>11.83</v>
      </c>
      <c r="P128" s="5">
        <f t="shared" si="23"/>
        <v>11.03</v>
      </c>
      <c r="Q128" s="5">
        <f t="shared" si="23"/>
        <v>9.48</v>
      </c>
      <c r="R128" s="5">
        <f t="shared" si="23"/>
        <v>7.38</v>
      </c>
      <c r="S128" s="5">
        <f t="shared" si="22"/>
        <v>6.72</v>
      </c>
      <c r="T128" s="5">
        <f t="shared" si="22"/>
        <v>5.26</v>
      </c>
      <c r="U128" s="5">
        <f t="shared" si="22"/>
        <v>3.8</v>
      </c>
      <c r="V128" s="5">
        <f t="shared" si="22"/>
        <v>3.53</v>
      </c>
      <c r="W128" s="5">
        <f t="shared" si="22"/>
        <v>2.71</v>
      </c>
      <c r="X128" s="5">
        <f t="shared" si="22"/>
        <v>2.29</v>
      </c>
      <c r="Y128" s="5">
        <f t="shared" si="22"/>
        <v>1.86</v>
      </c>
      <c r="Z128" s="5">
        <f t="shared" si="22"/>
        <v>1.79</v>
      </c>
      <c r="AA128" s="5">
        <f t="shared" si="22"/>
        <v>1.6</v>
      </c>
      <c r="AB128" s="5">
        <f t="shared" si="22"/>
        <v>1.31</v>
      </c>
      <c r="AC128" s="5">
        <f t="shared" si="22"/>
        <v>1.08</v>
      </c>
      <c r="AD128" s="5">
        <f t="shared" si="22"/>
        <v>1.04</v>
      </c>
      <c r="AE128" s="5">
        <f t="shared" si="22"/>
        <v>0.88</v>
      </c>
      <c r="AF128" s="5">
        <f t="shared" si="22"/>
        <v>0.78</v>
      </c>
      <c r="AG128" s="5">
        <f t="shared" si="22"/>
        <v>0.71</v>
      </c>
      <c r="AH128" s="5">
        <f t="shared" si="17"/>
        <v>0.43</v>
      </c>
      <c r="AI128" s="5">
        <f t="shared" si="17"/>
        <v>0.27</v>
      </c>
      <c r="AJ128" s="5">
        <f t="shared" si="17"/>
        <v>0.2</v>
      </c>
    </row>
    <row r="129" spans="1:36">
      <c r="A129" t="str">
        <f>"casthouse_procurement_archetype_"&amp;TEXT(ROUND(Table21319[[#This Row],[2016]],1),"0.0")</f>
        <v>casthouse_procurement_archetype_17.6</v>
      </c>
      <c r="B129" s="5">
        <f t="shared" si="13"/>
        <v>17.6</v>
      </c>
      <c r="C129" s="5">
        <f t="shared" si="23"/>
        <v>17.6</v>
      </c>
      <c r="D129" s="5">
        <f t="shared" si="23"/>
        <v>17.6</v>
      </c>
      <c r="E129" s="5">
        <f t="shared" si="23"/>
        <v>17.17</v>
      </c>
      <c r="F129" s="5">
        <f t="shared" si="23"/>
        <v>16.14</v>
      </c>
      <c r="G129" s="5">
        <f t="shared" si="23"/>
        <v>16.28</v>
      </c>
      <c r="H129" s="5">
        <f t="shared" si="23"/>
        <v>15.83</v>
      </c>
      <c r="I129" s="5">
        <f t="shared" si="23"/>
        <v>14.96</v>
      </c>
      <c r="J129" s="5">
        <f t="shared" si="23"/>
        <v>14.48</v>
      </c>
      <c r="K129" s="5">
        <f t="shared" si="23"/>
        <v>13.98</v>
      </c>
      <c r="L129" s="5">
        <f t="shared" si="23"/>
        <v>13.18</v>
      </c>
      <c r="M129" s="5">
        <f t="shared" si="23"/>
        <v>13.09</v>
      </c>
      <c r="N129" s="5">
        <f t="shared" si="23"/>
        <v>12.44</v>
      </c>
      <c r="O129" s="5">
        <f t="shared" si="23"/>
        <v>11.77</v>
      </c>
      <c r="P129" s="5">
        <f t="shared" si="23"/>
        <v>10.97</v>
      </c>
      <c r="Q129" s="5">
        <f t="shared" si="23"/>
        <v>9.43</v>
      </c>
      <c r="R129" s="5">
        <f t="shared" si="23"/>
        <v>7.34</v>
      </c>
      <c r="S129" s="5">
        <f t="shared" si="22"/>
        <v>6.68</v>
      </c>
      <c r="T129" s="5">
        <f t="shared" si="22"/>
        <v>5.23</v>
      </c>
      <c r="U129" s="5">
        <f t="shared" si="22"/>
        <v>3.78</v>
      </c>
      <c r="V129" s="5">
        <f t="shared" si="22"/>
        <v>3.51</v>
      </c>
      <c r="W129" s="5">
        <f t="shared" si="22"/>
        <v>2.69</v>
      </c>
      <c r="X129" s="5">
        <f t="shared" si="22"/>
        <v>2.28</v>
      </c>
      <c r="Y129" s="5">
        <f t="shared" si="22"/>
        <v>1.85</v>
      </c>
      <c r="Z129" s="5">
        <f t="shared" si="22"/>
        <v>1.79</v>
      </c>
      <c r="AA129" s="5">
        <f t="shared" si="22"/>
        <v>1.59</v>
      </c>
      <c r="AB129" s="5">
        <f t="shared" si="22"/>
        <v>1.3</v>
      </c>
      <c r="AC129" s="5">
        <f t="shared" si="22"/>
        <v>1.07</v>
      </c>
      <c r="AD129" s="5">
        <f t="shared" si="22"/>
        <v>1.03</v>
      </c>
      <c r="AE129" s="5">
        <f t="shared" si="22"/>
        <v>0.87</v>
      </c>
      <c r="AF129" s="5">
        <f t="shared" si="22"/>
        <v>0.78</v>
      </c>
      <c r="AG129" s="5">
        <f t="shared" si="22"/>
        <v>0.7</v>
      </c>
      <c r="AH129" s="5">
        <f t="shared" si="17"/>
        <v>0.43</v>
      </c>
      <c r="AI129" s="5">
        <f t="shared" si="17"/>
        <v>0.27</v>
      </c>
      <c r="AJ129" s="5">
        <f t="shared" si="17"/>
        <v>0.2</v>
      </c>
    </row>
    <row r="130" spans="1:36">
      <c r="A130" t="str">
        <f>"casthouse_procurement_archetype_"&amp;TEXT(ROUND(Table21319[[#This Row],[2016]],1),"0.0")</f>
        <v>casthouse_procurement_archetype_17.5</v>
      </c>
      <c r="B130" s="5">
        <f t="shared" si="13"/>
        <v>17.5</v>
      </c>
      <c r="C130" s="5">
        <f t="shared" si="23"/>
        <v>17.5</v>
      </c>
      <c r="D130" s="5">
        <f t="shared" si="23"/>
        <v>17.5</v>
      </c>
      <c r="E130" s="5">
        <f t="shared" si="23"/>
        <v>17.07</v>
      </c>
      <c r="F130" s="5">
        <f t="shared" si="23"/>
        <v>16.05</v>
      </c>
      <c r="G130" s="5">
        <f t="shared" si="23"/>
        <v>16.19</v>
      </c>
      <c r="H130" s="5">
        <f t="shared" si="23"/>
        <v>15.74</v>
      </c>
      <c r="I130" s="5">
        <f t="shared" si="23"/>
        <v>14.88</v>
      </c>
      <c r="J130" s="5">
        <f t="shared" si="23"/>
        <v>14.39</v>
      </c>
      <c r="K130" s="5">
        <f t="shared" si="23"/>
        <v>13.9</v>
      </c>
      <c r="L130" s="5">
        <f t="shared" si="23"/>
        <v>13.11</v>
      </c>
      <c r="M130" s="5">
        <f t="shared" si="23"/>
        <v>13.01</v>
      </c>
      <c r="N130" s="5">
        <f t="shared" si="23"/>
        <v>12.37</v>
      </c>
      <c r="O130" s="5">
        <f t="shared" si="23"/>
        <v>11.7</v>
      </c>
      <c r="P130" s="5">
        <f t="shared" si="23"/>
        <v>10.91</v>
      </c>
      <c r="Q130" s="5">
        <f t="shared" si="23"/>
        <v>9.37</v>
      </c>
      <c r="R130" s="5">
        <f t="shared" si="23"/>
        <v>7.3</v>
      </c>
      <c r="S130" s="5">
        <f t="shared" si="22"/>
        <v>6.64</v>
      </c>
      <c r="T130" s="5">
        <f t="shared" si="22"/>
        <v>5.21</v>
      </c>
      <c r="U130" s="5">
        <f t="shared" si="22"/>
        <v>3.76</v>
      </c>
      <c r="V130" s="5">
        <f t="shared" si="22"/>
        <v>3.49</v>
      </c>
      <c r="W130" s="5">
        <f t="shared" si="22"/>
        <v>2.68</v>
      </c>
      <c r="X130" s="5">
        <f t="shared" si="22"/>
        <v>2.27</v>
      </c>
      <c r="Y130" s="5">
        <f t="shared" si="22"/>
        <v>1.84</v>
      </c>
      <c r="Z130" s="5">
        <f t="shared" si="22"/>
        <v>1.78</v>
      </c>
      <c r="AA130" s="5">
        <f t="shared" si="22"/>
        <v>1.58</v>
      </c>
      <c r="AB130" s="5">
        <f t="shared" si="22"/>
        <v>1.3</v>
      </c>
      <c r="AC130" s="5">
        <f t="shared" si="22"/>
        <v>1.07</v>
      </c>
      <c r="AD130" s="5">
        <f t="shared" si="22"/>
        <v>1.03</v>
      </c>
      <c r="AE130" s="5">
        <f t="shared" si="22"/>
        <v>0.87</v>
      </c>
      <c r="AF130" s="5">
        <f t="shared" si="22"/>
        <v>0.77</v>
      </c>
      <c r="AG130" s="5">
        <f t="shared" si="22"/>
        <v>0.7</v>
      </c>
      <c r="AH130" s="5">
        <f t="shared" si="17"/>
        <v>0.43</v>
      </c>
      <c r="AI130" s="5">
        <f t="shared" si="17"/>
        <v>0.27</v>
      </c>
      <c r="AJ130" s="5">
        <f t="shared" si="17"/>
        <v>0.2</v>
      </c>
    </row>
    <row r="131" spans="1:36">
      <c r="A131" t="str">
        <f>"casthouse_procurement_archetype_"&amp;TEXT(ROUND(Table21319[[#This Row],[2016]],1),"0.0")</f>
        <v>casthouse_procurement_archetype_17.4</v>
      </c>
      <c r="B131" s="5">
        <f t="shared" si="13"/>
        <v>17.4</v>
      </c>
      <c r="C131" s="5">
        <f t="shared" si="23"/>
        <v>17.4</v>
      </c>
      <c r="D131" s="5">
        <f t="shared" si="23"/>
        <v>17.4</v>
      </c>
      <c r="E131" s="5">
        <f t="shared" si="23"/>
        <v>16.98</v>
      </c>
      <c r="F131" s="5">
        <f t="shared" si="23"/>
        <v>15.95</v>
      </c>
      <c r="G131" s="5">
        <f t="shared" si="23"/>
        <v>16.1</v>
      </c>
      <c r="H131" s="5">
        <f t="shared" si="23"/>
        <v>15.65</v>
      </c>
      <c r="I131" s="5">
        <f t="shared" si="23"/>
        <v>14.79</v>
      </c>
      <c r="J131" s="5">
        <f t="shared" si="23"/>
        <v>14.31</v>
      </c>
      <c r="K131" s="5">
        <f t="shared" si="23"/>
        <v>13.82</v>
      </c>
      <c r="L131" s="5">
        <f t="shared" si="23"/>
        <v>13.03</v>
      </c>
      <c r="M131" s="5">
        <f t="shared" si="23"/>
        <v>12.94</v>
      </c>
      <c r="N131" s="5">
        <f t="shared" si="23"/>
        <v>12.3</v>
      </c>
      <c r="O131" s="5">
        <f t="shared" si="23"/>
        <v>11.63</v>
      </c>
      <c r="P131" s="5">
        <f t="shared" si="23"/>
        <v>10.85</v>
      </c>
      <c r="Q131" s="5">
        <f t="shared" si="23"/>
        <v>9.32</v>
      </c>
      <c r="R131" s="5">
        <f t="shared" si="23"/>
        <v>7.26</v>
      </c>
      <c r="S131" s="5">
        <f t="shared" si="22"/>
        <v>6.6</v>
      </c>
      <c r="T131" s="5">
        <f t="shared" si="22"/>
        <v>5.18</v>
      </c>
      <c r="U131" s="5">
        <f t="shared" si="22"/>
        <v>3.74</v>
      </c>
      <c r="V131" s="5">
        <f t="shared" si="22"/>
        <v>3.47</v>
      </c>
      <c r="W131" s="5">
        <f t="shared" si="22"/>
        <v>2.67</v>
      </c>
      <c r="X131" s="5">
        <f t="shared" si="22"/>
        <v>2.26</v>
      </c>
      <c r="Y131" s="5">
        <f t="shared" si="22"/>
        <v>1.83</v>
      </c>
      <c r="Z131" s="5">
        <f t="shared" si="22"/>
        <v>1.77</v>
      </c>
      <c r="AA131" s="5">
        <f t="shared" si="22"/>
        <v>1.57</v>
      </c>
      <c r="AB131" s="5">
        <f t="shared" si="22"/>
        <v>1.29</v>
      </c>
      <c r="AC131" s="5">
        <f t="shared" si="22"/>
        <v>1.06</v>
      </c>
      <c r="AD131" s="5">
        <f t="shared" si="22"/>
        <v>1.02</v>
      </c>
      <c r="AE131" s="5">
        <f t="shared" si="22"/>
        <v>0.87</v>
      </c>
      <c r="AF131" s="5">
        <f t="shared" si="22"/>
        <v>0.77</v>
      </c>
      <c r="AG131" s="5">
        <f t="shared" si="22"/>
        <v>0.7</v>
      </c>
      <c r="AH131" s="5">
        <f t="shared" si="17"/>
        <v>0.43</v>
      </c>
      <c r="AI131" s="5">
        <f t="shared" si="17"/>
        <v>0.27</v>
      </c>
      <c r="AJ131" s="5">
        <f t="shared" si="17"/>
        <v>0.2</v>
      </c>
    </row>
    <row r="132" spans="1:36">
      <c r="A132" t="str">
        <f>"casthouse_procurement_archetype_"&amp;TEXT(ROUND(Table21319[[#This Row],[2016]],1),"0.0")</f>
        <v>casthouse_procurement_archetype_17.3</v>
      </c>
      <c r="B132" s="5">
        <f t="shared" si="13"/>
        <v>17.3</v>
      </c>
      <c r="C132" s="5">
        <f t="shared" si="23"/>
        <v>17.3</v>
      </c>
      <c r="D132" s="5">
        <f t="shared" si="23"/>
        <v>17.3</v>
      </c>
      <c r="E132" s="5">
        <f t="shared" si="23"/>
        <v>16.88</v>
      </c>
      <c r="F132" s="5">
        <f t="shared" si="23"/>
        <v>15.86</v>
      </c>
      <c r="G132" s="5">
        <f t="shared" si="23"/>
        <v>16</v>
      </c>
      <c r="H132" s="5">
        <f t="shared" si="23"/>
        <v>15.56</v>
      </c>
      <c r="I132" s="5">
        <f t="shared" si="23"/>
        <v>14.71</v>
      </c>
      <c r="J132" s="5">
        <f t="shared" si="23"/>
        <v>14.23</v>
      </c>
      <c r="K132" s="5">
        <f t="shared" si="23"/>
        <v>13.74</v>
      </c>
      <c r="L132" s="5">
        <f t="shared" si="23"/>
        <v>12.96</v>
      </c>
      <c r="M132" s="5">
        <f t="shared" si="23"/>
        <v>12.87</v>
      </c>
      <c r="N132" s="5">
        <f t="shared" si="23"/>
        <v>12.23</v>
      </c>
      <c r="O132" s="5">
        <f t="shared" si="23"/>
        <v>11.57</v>
      </c>
      <c r="P132" s="5">
        <f t="shared" si="23"/>
        <v>10.79</v>
      </c>
      <c r="Q132" s="5">
        <f t="shared" si="23"/>
        <v>9.27</v>
      </c>
      <c r="R132" s="5">
        <f t="shared" si="23"/>
        <v>7.22</v>
      </c>
      <c r="S132" s="5">
        <f t="shared" si="22"/>
        <v>6.57</v>
      </c>
      <c r="T132" s="5">
        <f t="shared" si="22"/>
        <v>5.15</v>
      </c>
      <c r="U132" s="5">
        <f t="shared" si="22"/>
        <v>3.72</v>
      </c>
      <c r="V132" s="5">
        <f t="shared" si="22"/>
        <v>3.45</v>
      </c>
      <c r="W132" s="5">
        <f t="shared" si="22"/>
        <v>2.65</v>
      </c>
      <c r="X132" s="5">
        <f t="shared" si="22"/>
        <v>2.25</v>
      </c>
      <c r="Y132" s="5">
        <f t="shared" si="22"/>
        <v>1.82</v>
      </c>
      <c r="Z132" s="5">
        <f t="shared" si="22"/>
        <v>1.76</v>
      </c>
      <c r="AA132" s="5">
        <f t="shared" si="22"/>
        <v>1.57</v>
      </c>
      <c r="AB132" s="5">
        <f t="shared" si="22"/>
        <v>1.29</v>
      </c>
      <c r="AC132" s="5">
        <f t="shared" si="22"/>
        <v>1.06</v>
      </c>
      <c r="AD132" s="5">
        <f t="shared" si="22"/>
        <v>1.02</v>
      </c>
      <c r="AE132" s="5">
        <f t="shared" si="22"/>
        <v>0.86</v>
      </c>
      <c r="AF132" s="5">
        <f t="shared" si="22"/>
        <v>0.77</v>
      </c>
      <c r="AG132" s="5">
        <f t="shared" si="22"/>
        <v>0.69</v>
      </c>
      <c r="AH132" s="5">
        <f t="shared" si="17"/>
        <v>0.43</v>
      </c>
      <c r="AI132" s="5">
        <f t="shared" si="17"/>
        <v>0.27</v>
      </c>
      <c r="AJ132" s="5">
        <f t="shared" si="17"/>
        <v>0.2</v>
      </c>
    </row>
    <row r="133" spans="1:36">
      <c r="A133" t="str">
        <f>"casthouse_procurement_archetype_"&amp;TEXT(ROUND(Table21319[[#This Row],[2016]],1),"0.0")</f>
        <v>casthouse_procurement_archetype_17.2</v>
      </c>
      <c r="B133" s="5">
        <f t="shared" si="13"/>
        <v>17.2</v>
      </c>
      <c r="C133" s="5">
        <f t="shared" si="23"/>
        <v>17.2</v>
      </c>
      <c r="D133" s="5">
        <f t="shared" si="23"/>
        <v>17.2</v>
      </c>
      <c r="E133" s="5">
        <f t="shared" si="23"/>
        <v>16.78</v>
      </c>
      <c r="F133" s="5">
        <f t="shared" si="23"/>
        <v>15.77</v>
      </c>
      <c r="G133" s="5">
        <f t="shared" si="23"/>
        <v>15.91</v>
      </c>
      <c r="H133" s="5">
        <f t="shared" si="23"/>
        <v>15.47</v>
      </c>
      <c r="I133" s="5">
        <f t="shared" si="23"/>
        <v>14.62</v>
      </c>
      <c r="J133" s="5">
        <f t="shared" si="23"/>
        <v>14.15</v>
      </c>
      <c r="K133" s="5">
        <f t="shared" si="23"/>
        <v>13.66</v>
      </c>
      <c r="L133" s="5">
        <f t="shared" si="23"/>
        <v>12.89</v>
      </c>
      <c r="M133" s="5">
        <f t="shared" si="23"/>
        <v>12.79</v>
      </c>
      <c r="N133" s="5">
        <f t="shared" si="23"/>
        <v>12.16</v>
      </c>
      <c r="O133" s="5">
        <f t="shared" si="23"/>
        <v>11.5</v>
      </c>
      <c r="P133" s="5">
        <f t="shared" si="23"/>
        <v>10.72</v>
      </c>
      <c r="Q133" s="5">
        <f t="shared" si="23"/>
        <v>9.22</v>
      </c>
      <c r="R133" s="5">
        <f t="shared" si="23"/>
        <v>7.18</v>
      </c>
      <c r="S133" s="5">
        <f t="shared" si="22"/>
        <v>6.53</v>
      </c>
      <c r="T133" s="5">
        <f t="shared" si="22"/>
        <v>5.12</v>
      </c>
      <c r="U133" s="5">
        <f t="shared" si="22"/>
        <v>3.7</v>
      </c>
      <c r="V133" s="5">
        <f t="shared" si="22"/>
        <v>3.43</v>
      </c>
      <c r="W133" s="5">
        <f t="shared" si="22"/>
        <v>2.64</v>
      </c>
      <c r="X133" s="5">
        <f t="shared" si="22"/>
        <v>2.23</v>
      </c>
      <c r="Y133" s="5">
        <f t="shared" si="22"/>
        <v>1.81</v>
      </c>
      <c r="Z133" s="5">
        <f t="shared" si="22"/>
        <v>1.75</v>
      </c>
      <c r="AA133" s="5">
        <f t="shared" si="22"/>
        <v>1.56</v>
      </c>
      <c r="AB133" s="5">
        <f t="shared" si="22"/>
        <v>1.28</v>
      </c>
      <c r="AC133" s="5">
        <f t="shared" si="22"/>
        <v>1.05</v>
      </c>
      <c r="AD133" s="5">
        <f t="shared" si="22"/>
        <v>1.01</v>
      </c>
      <c r="AE133" s="5">
        <f t="shared" si="22"/>
        <v>0.86</v>
      </c>
      <c r="AF133" s="5">
        <f t="shared" si="22"/>
        <v>0.76</v>
      </c>
      <c r="AG133" s="5">
        <f t="shared" si="22"/>
        <v>0.69</v>
      </c>
      <c r="AH133" s="5">
        <f t="shared" si="17"/>
        <v>0.42</v>
      </c>
      <c r="AI133" s="5">
        <f t="shared" si="17"/>
        <v>0.27</v>
      </c>
      <c r="AJ133" s="5">
        <f t="shared" si="17"/>
        <v>0.2</v>
      </c>
    </row>
    <row r="134" spans="1:36">
      <c r="A134" t="str">
        <f>"casthouse_procurement_archetype_"&amp;TEXT(ROUND(Table21319[[#This Row],[2016]],1),"0.0")</f>
        <v>casthouse_procurement_archetype_17.1</v>
      </c>
      <c r="B134" s="5">
        <f t="shared" si="13"/>
        <v>17.1</v>
      </c>
      <c r="C134" s="5">
        <f t="shared" si="23"/>
        <v>17.1</v>
      </c>
      <c r="D134" s="5">
        <f t="shared" si="23"/>
        <v>17.1</v>
      </c>
      <c r="E134" s="5">
        <f t="shared" si="23"/>
        <v>16.68</v>
      </c>
      <c r="F134" s="5">
        <f t="shared" si="23"/>
        <v>15.68</v>
      </c>
      <c r="G134" s="5">
        <f t="shared" si="23"/>
        <v>15.82</v>
      </c>
      <c r="H134" s="5">
        <f t="shared" si="23"/>
        <v>15.38</v>
      </c>
      <c r="I134" s="5">
        <f t="shared" si="23"/>
        <v>14.54</v>
      </c>
      <c r="J134" s="5">
        <f t="shared" si="23"/>
        <v>14.07</v>
      </c>
      <c r="K134" s="5">
        <f t="shared" si="23"/>
        <v>13.58</v>
      </c>
      <c r="L134" s="5">
        <f t="shared" si="23"/>
        <v>12.81</v>
      </c>
      <c r="M134" s="5">
        <f t="shared" si="23"/>
        <v>12.72</v>
      </c>
      <c r="N134" s="5">
        <f t="shared" si="23"/>
        <v>12.09</v>
      </c>
      <c r="O134" s="5">
        <f t="shared" si="23"/>
        <v>11.43</v>
      </c>
      <c r="P134" s="5">
        <f t="shared" si="23"/>
        <v>10.66</v>
      </c>
      <c r="Q134" s="5">
        <f t="shared" si="23"/>
        <v>9.16</v>
      </c>
      <c r="R134" s="5">
        <f t="shared" si="23"/>
        <v>7.14</v>
      </c>
      <c r="S134" s="5">
        <f t="shared" si="22"/>
        <v>6.49</v>
      </c>
      <c r="T134" s="5">
        <f t="shared" si="22"/>
        <v>5.09</v>
      </c>
      <c r="U134" s="5">
        <f t="shared" si="22"/>
        <v>3.68</v>
      </c>
      <c r="V134" s="5">
        <f t="shared" si="22"/>
        <v>3.41</v>
      </c>
      <c r="W134" s="5">
        <f t="shared" si="22"/>
        <v>2.62</v>
      </c>
      <c r="X134" s="5">
        <f t="shared" si="22"/>
        <v>2.22</v>
      </c>
      <c r="Y134" s="5">
        <f t="shared" si="22"/>
        <v>1.81</v>
      </c>
      <c r="Z134" s="5">
        <f t="shared" si="22"/>
        <v>1.74</v>
      </c>
      <c r="AA134" s="5">
        <f t="shared" si="22"/>
        <v>1.55</v>
      </c>
      <c r="AB134" s="5">
        <f t="shared" si="22"/>
        <v>1.27</v>
      </c>
      <c r="AC134" s="5">
        <f t="shared" si="22"/>
        <v>1.05</v>
      </c>
      <c r="AD134" s="5">
        <f t="shared" si="22"/>
        <v>1.01</v>
      </c>
      <c r="AE134" s="5">
        <f t="shared" si="22"/>
        <v>0.86</v>
      </c>
      <c r="AF134" s="5">
        <f t="shared" si="22"/>
        <v>0.76</v>
      </c>
      <c r="AG134" s="5">
        <f t="shared" si="22"/>
        <v>0.69</v>
      </c>
      <c r="AH134" s="5">
        <f t="shared" si="17"/>
        <v>0.42</v>
      </c>
      <c r="AI134" s="5">
        <f t="shared" si="17"/>
        <v>0.27</v>
      </c>
      <c r="AJ134" s="5">
        <f t="shared" si="17"/>
        <v>0.2</v>
      </c>
    </row>
    <row r="135" spans="1:36">
      <c r="A135" t="str">
        <f>"casthouse_procurement_archetype_"&amp;TEXT(ROUND(Table21319[[#This Row],[2016]],1),"0.0")</f>
        <v>casthouse_procurement_archetype_17.0</v>
      </c>
      <c r="B135" s="5">
        <f t="shared" ref="B135:B198" si="24">MROUND(B134-0.1,0.1)</f>
        <v>17</v>
      </c>
      <c r="C135" s="5">
        <f t="shared" si="23"/>
        <v>17</v>
      </c>
      <c r="D135" s="5">
        <f t="shared" si="23"/>
        <v>17</v>
      </c>
      <c r="E135" s="5">
        <f t="shared" si="23"/>
        <v>16.59</v>
      </c>
      <c r="F135" s="5">
        <f t="shared" si="23"/>
        <v>15.59</v>
      </c>
      <c r="G135" s="5">
        <f t="shared" si="23"/>
        <v>15.73</v>
      </c>
      <c r="H135" s="5">
        <f t="shared" si="23"/>
        <v>15.29</v>
      </c>
      <c r="I135" s="5">
        <f t="shared" si="23"/>
        <v>14.46</v>
      </c>
      <c r="J135" s="5">
        <f t="shared" si="23"/>
        <v>13.98</v>
      </c>
      <c r="K135" s="5">
        <f t="shared" si="23"/>
        <v>13.5</v>
      </c>
      <c r="L135" s="5">
        <f t="shared" si="23"/>
        <v>12.74</v>
      </c>
      <c r="M135" s="5">
        <f t="shared" si="23"/>
        <v>12.64</v>
      </c>
      <c r="N135" s="5">
        <f t="shared" si="23"/>
        <v>12.02</v>
      </c>
      <c r="O135" s="5">
        <f t="shared" si="23"/>
        <v>11.37</v>
      </c>
      <c r="P135" s="5">
        <f t="shared" si="23"/>
        <v>10.6</v>
      </c>
      <c r="Q135" s="5">
        <f t="shared" si="23"/>
        <v>9.11</v>
      </c>
      <c r="R135" s="5">
        <f t="shared" si="23"/>
        <v>7.1</v>
      </c>
      <c r="S135" s="5">
        <f t="shared" si="22"/>
        <v>6.46</v>
      </c>
      <c r="T135" s="5">
        <f t="shared" si="22"/>
        <v>5.06</v>
      </c>
      <c r="U135" s="5">
        <f t="shared" si="22"/>
        <v>3.65</v>
      </c>
      <c r="V135" s="5">
        <f t="shared" si="22"/>
        <v>3.39</v>
      </c>
      <c r="W135" s="5">
        <f t="shared" si="22"/>
        <v>2.61</v>
      </c>
      <c r="X135" s="5">
        <f t="shared" si="22"/>
        <v>2.21</v>
      </c>
      <c r="Y135" s="5">
        <f t="shared" si="22"/>
        <v>1.8</v>
      </c>
      <c r="Z135" s="5">
        <f t="shared" si="22"/>
        <v>1.73</v>
      </c>
      <c r="AA135" s="5">
        <f t="shared" si="22"/>
        <v>1.54</v>
      </c>
      <c r="AB135" s="5">
        <f t="shared" si="22"/>
        <v>1.27</v>
      </c>
      <c r="AC135" s="5">
        <f t="shared" si="22"/>
        <v>1.04</v>
      </c>
      <c r="AD135" s="5">
        <f t="shared" si="22"/>
        <v>1</v>
      </c>
      <c r="AE135" s="5">
        <f t="shared" si="22"/>
        <v>0.85</v>
      </c>
      <c r="AF135" s="5">
        <f t="shared" si="22"/>
        <v>0.76</v>
      </c>
      <c r="AG135" s="5">
        <f t="shared" si="22"/>
        <v>0.69</v>
      </c>
      <c r="AH135" s="5">
        <f t="shared" si="17"/>
        <v>0.42</v>
      </c>
      <c r="AI135" s="5">
        <f t="shared" si="17"/>
        <v>0.27</v>
      </c>
      <c r="AJ135" s="5">
        <f t="shared" si="17"/>
        <v>0.2</v>
      </c>
    </row>
    <row r="136" spans="1:36">
      <c r="A136" t="str">
        <f>"casthouse_procurement_archetype_"&amp;TEXT(ROUND(Table21319[[#This Row],[2016]],1),"0.0")</f>
        <v>casthouse_procurement_archetype_16.9</v>
      </c>
      <c r="B136" s="5">
        <f t="shared" si="24"/>
        <v>16.9</v>
      </c>
      <c r="C136" s="5">
        <f t="shared" si="23"/>
        <v>16.9</v>
      </c>
      <c r="D136" s="5">
        <f t="shared" si="23"/>
        <v>16.9</v>
      </c>
      <c r="E136" s="5">
        <f t="shared" si="23"/>
        <v>16.49</v>
      </c>
      <c r="F136" s="5">
        <f t="shared" si="23"/>
        <v>15.5</v>
      </c>
      <c r="G136" s="5">
        <f t="shared" si="23"/>
        <v>15.64</v>
      </c>
      <c r="H136" s="5">
        <f t="shared" si="23"/>
        <v>15.2</v>
      </c>
      <c r="I136" s="5">
        <f t="shared" si="23"/>
        <v>14.37</v>
      </c>
      <c r="J136" s="5">
        <f t="shared" si="23"/>
        <v>13.9</v>
      </c>
      <c r="K136" s="5">
        <f t="shared" si="23"/>
        <v>13.42</v>
      </c>
      <c r="L136" s="5">
        <f t="shared" si="23"/>
        <v>12.66</v>
      </c>
      <c r="M136" s="5">
        <f t="shared" si="23"/>
        <v>12.57</v>
      </c>
      <c r="N136" s="5">
        <f t="shared" si="23"/>
        <v>11.95</v>
      </c>
      <c r="O136" s="5">
        <f t="shared" si="23"/>
        <v>11.3</v>
      </c>
      <c r="P136" s="5">
        <f t="shared" si="23"/>
        <v>10.54</v>
      </c>
      <c r="Q136" s="5">
        <f t="shared" si="23"/>
        <v>9.06</v>
      </c>
      <c r="R136" s="5">
        <f t="shared" si="23"/>
        <v>7.06</v>
      </c>
      <c r="S136" s="5">
        <f t="shared" si="22"/>
        <v>6.42</v>
      </c>
      <c r="T136" s="5">
        <f t="shared" si="22"/>
        <v>5.03</v>
      </c>
      <c r="U136" s="5">
        <f t="shared" si="22"/>
        <v>3.63</v>
      </c>
      <c r="V136" s="5">
        <f t="shared" si="22"/>
        <v>3.38</v>
      </c>
      <c r="W136" s="5">
        <f t="shared" si="22"/>
        <v>2.59</v>
      </c>
      <c r="X136" s="5">
        <f t="shared" si="22"/>
        <v>2.2</v>
      </c>
      <c r="Y136" s="5">
        <f t="shared" si="22"/>
        <v>1.79</v>
      </c>
      <c r="Z136" s="5">
        <f t="shared" si="22"/>
        <v>1.72</v>
      </c>
      <c r="AA136" s="5">
        <f t="shared" si="22"/>
        <v>1.53</v>
      </c>
      <c r="AB136" s="5">
        <f t="shared" si="22"/>
        <v>1.26</v>
      </c>
      <c r="AC136" s="5">
        <f t="shared" si="22"/>
        <v>1.04</v>
      </c>
      <c r="AD136" s="5">
        <f t="shared" si="22"/>
        <v>1</v>
      </c>
      <c r="AE136" s="5">
        <f t="shared" si="22"/>
        <v>0.85</v>
      </c>
      <c r="AF136" s="5">
        <f t="shared" si="22"/>
        <v>0.75</v>
      </c>
      <c r="AG136" s="5">
        <f t="shared" si="22"/>
        <v>0.68</v>
      </c>
      <c r="AH136" s="5">
        <f t="shared" si="17"/>
        <v>0.42</v>
      </c>
      <c r="AI136" s="5">
        <f t="shared" si="17"/>
        <v>0.27</v>
      </c>
      <c r="AJ136" s="5">
        <f t="shared" si="17"/>
        <v>0.2</v>
      </c>
    </row>
    <row r="137" spans="1:36">
      <c r="A137" t="str">
        <f>"casthouse_procurement_archetype_"&amp;TEXT(ROUND(Table21319[[#This Row],[2016]],1),"0.0")</f>
        <v>casthouse_procurement_archetype_16.8</v>
      </c>
      <c r="B137" s="5">
        <f t="shared" si="24"/>
        <v>16.8</v>
      </c>
      <c r="C137" s="5">
        <f t="shared" si="23"/>
        <v>16.8</v>
      </c>
      <c r="D137" s="5">
        <f t="shared" si="23"/>
        <v>16.8</v>
      </c>
      <c r="E137" s="5">
        <f t="shared" si="23"/>
        <v>16.39</v>
      </c>
      <c r="F137" s="5">
        <f t="shared" si="23"/>
        <v>15.4</v>
      </c>
      <c r="G137" s="5">
        <f t="shared" si="23"/>
        <v>15.54</v>
      </c>
      <c r="H137" s="5">
        <f t="shared" si="23"/>
        <v>15.11</v>
      </c>
      <c r="I137" s="5">
        <f t="shared" si="23"/>
        <v>14.29</v>
      </c>
      <c r="J137" s="5">
        <f t="shared" si="23"/>
        <v>13.82</v>
      </c>
      <c r="K137" s="5">
        <f t="shared" si="23"/>
        <v>13.34</v>
      </c>
      <c r="L137" s="5">
        <f t="shared" si="23"/>
        <v>12.59</v>
      </c>
      <c r="M137" s="5">
        <f t="shared" si="23"/>
        <v>12.5</v>
      </c>
      <c r="N137" s="5">
        <f t="shared" si="23"/>
        <v>11.88</v>
      </c>
      <c r="O137" s="5">
        <f t="shared" si="23"/>
        <v>11.24</v>
      </c>
      <c r="P137" s="5">
        <f t="shared" si="23"/>
        <v>10.48</v>
      </c>
      <c r="Q137" s="5">
        <f t="shared" si="23"/>
        <v>9</v>
      </c>
      <c r="R137" s="5">
        <f t="shared" si="23"/>
        <v>7.01</v>
      </c>
      <c r="S137" s="5">
        <f t="shared" si="22"/>
        <v>6.38</v>
      </c>
      <c r="T137" s="5">
        <f t="shared" si="22"/>
        <v>5</v>
      </c>
      <c r="U137" s="5">
        <f t="shared" si="22"/>
        <v>3.61</v>
      </c>
      <c r="V137" s="5">
        <f t="shared" si="22"/>
        <v>3.36</v>
      </c>
      <c r="W137" s="5">
        <f t="shared" si="22"/>
        <v>2.58</v>
      </c>
      <c r="X137" s="5">
        <f t="shared" si="22"/>
        <v>2.19</v>
      </c>
      <c r="Y137" s="5">
        <f t="shared" si="22"/>
        <v>1.78</v>
      </c>
      <c r="Z137" s="5">
        <f t="shared" si="22"/>
        <v>1.71</v>
      </c>
      <c r="AA137" s="5">
        <f t="shared" si="22"/>
        <v>1.53</v>
      </c>
      <c r="AB137" s="5">
        <f t="shared" si="22"/>
        <v>1.25</v>
      </c>
      <c r="AC137" s="5">
        <f t="shared" si="22"/>
        <v>1.03</v>
      </c>
      <c r="AD137" s="5">
        <f t="shared" si="22"/>
        <v>0.99</v>
      </c>
      <c r="AE137" s="5">
        <f t="shared" si="22"/>
        <v>0.84</v>
      </c>
      <c r="AF137" s="5">
        <f t="shared" si="22"/>
        <v>0.75</v>
      </c>
      <c r="AG137" s="5">
        <f t="shared" si="22"/>
        <v>0.68</v>
      </c>
      <c r="AH137" s="5">
        <f t="shared" si="17"/>
        <v>0.42</v>
      </c>
      <c r="AI137" s="5">
        <f t="shared" si="17"/>
        <v>0.27</v>
      </c>
      <c r="AJ137" s="5">
        <f t="shared" si="17"/>
        <v>0.2</v>
      </c>
    </row>
    <row r="138" spans="1:36">
      <c r="A138" t="str">
        <f>"casthouse_procurement_archetype_"&amp;TEXT(ROUND(Table21319[[#This Row],[2016]],1),"0.0")</f>
        <v>casthouse_procurement_archetype_16.7</v>
      </c>
      <c r="B138" s="5">
        <f t="shared" si="24"/>
        <v>16.7</v>
      </c>
      <c r="C138" s="5">
        <f t="shared" si="23"/>
        <v>16.7</v>
      </c>
      <c r="D138" s="5">
        <f t="shared" si="23"/>
        <v>16.7</v>
      </c>
      <c r="E138" s="5">
        <f t="shared" si="23"/>
        <v>16.29</v>
      </c>
      <c r="F138" s="5">
        <f t="shared" si="23"/>
        <v>15.31</v>
      </c>
      <c r="G138" s="5">
        <f t="shared" si="23"/>
        <v>15.45</v>
      </c>
      <c r="H138" s="5">
        <f t="shared" si="23"/>
        <v>15.02</v>
      </c>
      <c r="I138" s="5">
        <f t="shared" si="23"/>
        <v>14.2</v>
      </c>
      <c r="J138" s="5">
        <f t="shared" si="23"/>
        <v>13.74</v>
      </c>
      <c r="K138" s="5">
        <f t="shared" si="23"/>
        <v>13.26</v>
      </c>
      <c r="L138" s="5">
        <f t="shared" si="23"/>
        <v>12.51</v>
      </c>
      <c r="M138" s="5">
        <f t="shared" si="23"/>
        <v>12.42</v>
      </c>
      <c r="N138" s="5">
        <f t="shared" si="23"/>
        <v>11.81</v>
      </c>
      <c r="O138" s="5">
        <f t="shared" si="23"/>
        <v>11.17</v>
      </c>
      <c r="P138" s="5">
        <f t="shared" si="23"/>
        <v>10.41</v>
      </c>
      <c r="Q138" s="5">
        <f t="shared" si="23"/>
        <v>8.95</v>
      </c>
      <c r="R138" s="5">
        <f t="shared" si="23"/>
        <v>6.97</v>
      </c>
      <c r="S138" s="5">
        <f t="shared" si="22"/>
        <v>6.34</v>
      </c>
      <c r="T138" s="5">
        <f t="shared" si="22"/>
        <v>4.97</v>
      </c>
      <c r="U138" s="5">
        <f t="shared" si="22"/>
        <v>3.59</v>
      </c>
      <c r="V138" s="5">
        <f t="shared" si="22"/>
        <v>3.34</v>
      </c>
      <c r="W138" s="5">
        <f t="shared" si="22"/>
        <v>2.57</v>
      </c>
      <c r="X138" s="5">
        <f t="shared" si="22"/>
        <v>2.17</v>
      </c>
      <c r="Y138" s="5">
        <f t="shared" si="22"/>
        <v>1.77</v>
      </c>
      <c r="Z138" s="5">
        <f t="shared" si="22"/>
        <v>1.7</v>
      </c>
      <c r="AA138" s="5">
        <f t="shared" si="22"/>
        <v>1.52</v>
      </c>
      <c r="AB138" s="5">
        <f t="shared" si="22"/>
        <v>1.25</v>
      </c>
      <c r="AC138" s="5">
        <f t="shared" si="22"/>
        <v>1.03</v>
      </c>
      <c r="AD138" s="5">
        <f t="shared" si="22"/>
        <v>0.99</v>
      </c>
      <c r="AE138" s="5">
        <f t="shared" si="22"/>
        <v>0.84</v>
      </c>
      <c r="AF138" s="5">
        <f t="shared" si="22"/>
        <v>0.75</v>
      </c>
      <c r="AG138" s="5">
        <f t="shared" si="22"/>
        <v>0.68</v>
      </c>
      <c r="AH138" s="5">
        <f t="shared" si="17"/>
        <v>0.42</v>
      </c>
      <c r="AI138" s="5">
        <f t="shared" si="17"/>
        <v>0.27</v>
      </c>
      <c r="AJ138" s="5">
        <f t="shared" si="17"/>
        <v>0.2</v>
      </c>
    </row>
    <row r="139" spans="1:36">
      <c r="A139" t="str">
        <f>"casthouse_procurement_archetype_"&amp;TEXT(ROUND(Table21319[[#This Row],[2016]],1),"0.0")</f>
        <v>casthouse_procurement_archetype_16.6</v>
      </c>
      <c r="B139" s="5">
        <f t="shared" si="24"/>
        <v>16.6</v>
      </c>
      <c r="C139" s="5">
        <f t="shared" si="23"/>
        <v>16.6</v>
      </c>
      <c r="D139" s="5">
        <f t="shared" si="23"/>
        <v>16.6</v>
      </c>
      <c r="E139" s="5">
        <f t="shared" si="23"/>
        <v>16.2</v>
      </c>
      <c r="F139" s="5">
        <f t="shared" si="23"/>
        <v>15.22</v>
      </c>
      <c r="G139" s="5">
        <f t="shared" si="23"/>
        <v>15.36</v>
      </c>
      <c r="H139" s="5">
        <f t="shared" si="23"/>
        <v>14.93</v>
      </c>
      <c r="I139" s="5">
        <f t="shared" si="23"/>
        <v>14.12</v>
      </c>
      <c r="J139" s="5">
        <f t="shared" si="23"/>
        <v>13.66</v>
      </c>
      <c r="K139" s="5">
        <f t="shared" si="23"/>
        <v>13.18</v>
      </c>
      <c r="L139" s="5">
        <f t="shared" si="23"/>
        <v>12.44</v>
      </c>
      <c r="M139" s="5">
        <f t="shared" si="23"/>
        <v>12.35</v>
      </c>
      <c r="N139" s="5">
        <f t="shared" si="23"/>
        <v>11.74</v>
      </c>
      <c r="O139" s="5">
        <f t="shared" si="23"/>
        <v>11.1</v>
      </c>
      <c r="P139" s="5">
        <f t="shared" si="23"/>
        <v>10.35</v>
      </c>
      <c r="Q139" s="5">
        <f t="shared" si="23"/>
        <v>8.9</v>
      </c>
      <c r="R139" s="5">
        <f t="shared" si="23"/>
        <v>6.93</v>
      </c>
      <c r="S139" s="5">
        <f t="shared" si="22"/>
        <v>6.31</v>
      </c>
      <c r="T139" s="5">
        <f t="shared" si="22"/>
        <v>4.94</v>
      </c>
      <c r="U139" s="5">
        <f t="shared" si="22"/>
        <v>3.57</v>
      </c>
      <c r="V139" s="5">
        <f t="shared" si="22"/>
        <v>3.32</v>
      </c>
      <c r="W139" s="5">
        <f t="shared" si="22"/>
        <v>2.55</v>
      </c>
      <c r="X139" s="5">
        <f t="shared" si="22"/>
        <v>2.16</v>
      </c>
      <c r="Y139" s="5">
        <f t="shared" si="22"/>
        <v>1.76</v>
      </c>
      <c r="Z139" s="5">
        <f t="shared" si="22"/>
        <v>1.69</v>
      </c>
      <c r="AA139" s="5">
        <f t="shared" si="22"/>
        <v>1.51</v>
      </c>
      <c r="AB139" s="5">
        <f t="shared" si="22"/>
        <v>1.24</v>
      </c>
      <c r="AC139" s="5">
        <f t="shared" si="22"/>
        <v>1.02</v>
      </c>
      <c r="AD139" s="5">
        <f t="shared" si="22"/>
        <v>0.98</v>
      </c>
      <c r="AE139" s="5">
        <f t="shared" si="22"/>
        <v>0.84</v>
      </c>
      <c r="AF139" s="5">
        <f t="shared" si="22"/>
        <v>0.74</v>
      </c>
      <c r="AG139" s="5">
        <f t="shared" si="22"/>
        <v>0.67</v>
      </c>
      <c r="AH139" s="5">
        <f t="shared" si="17"/>
        <v>0.42</v>
      </c>
      <c r="AI139" s="5">
        <f t="shared" si="17"/>
        <v>0.27</v>
      </c>
      <c r="AJ139" s="5">
        <f t="shared" si="17"/>
        <v>0.2</v>
      </c>
    </row>
    <row r="140" spans="1:36">
      <c r="A140" t="str">
        <f>"casthouse_procurement_archetype_"&amp;TEXT(ROUND(Table21319[[#This Row],[2016]],1),"0.0")</f>
        <v>casthouse_procurement_archetype_16.5</v>
      </c>
      <c r="B140" s="5">
        <f t="shared" si="24"/>
        <v>16.5</v>
      </c>
      <c r="C140" s="5">
        <f t="shared" si="23"/>
        <v>16.5</v>
      </c>
      <c r="D140" s="5">
        <f t="shared" si="23"/>
        <v>16.5</v>
      </c>
      <c r="E140" s="5">
        <f t="shared" si="23"/>
        <v>16.1</v>
      </c>
      <c r="F140" s="5">
        <f t="shared" si="23"/>
        <v>15.13</v>
      </c>
      <c r="G140" s="5">
        <f t="shared" si="23"/>
        <v>15.27</v>
      </c>
      <c r="H140" s="5">
        <f t="shared" si="23"/>
        <v>14.84</v>
      </c>
      <c r="I140" s="5">
        <f t="shared" si="23"/>
        <v>14.03</v>
      </c>
      <c r="J140" s="5">
        <f t="shared" si="23"/>
        <v>13.57</v>
      </c>
      <c r="K140" s="5">
        <f t="shared" si="23"/>
        <v>13.1</v>
      </c>
      <c r="L140" s="5">
        <f t="shared" si="23"/>
        <v>12.36</v>
      </c>
      <c r="M140" s="5">
        <f t="shared" si="23"/>
        <v>12.27</v>
      </c>
      <c r="N140" s="5">
        <f t="shared" si="23"/>
        <v>11.67</v>
      </c>
      <c r="O140" s="5">
        <f t="shared" si="23"/>
        <v>11.04</v>
      </c>
      <c r="P140" s="5">
        <f t="shared" si="23"/>
        <v>10.29</v>
      </c>
      <c r="Q140" s="5">
        <f t="shared" si="23"/>
        <v>8.84</v>
      </c>
      <c r="R140" s="5">
        <f t="shared" ref="R140:AG155" si="25">MROUND((($B140-$AJ$2)*((R$2-$AJ$2)/($B$2-$AJ$2)))+$AJ$2,0.01)</f>
        <v>6.89</v>
      </c>
      <c r="S140" s="5">
        <f t="shared" si="25"/>
        <v>6.27</v>
      </c>
      <c r="T140" s="5">
        <f t="shared" si="25"/>
        <v>4.92</v>
      </c>
      <c r="U140" s="5">
        <f t="shared" si="25"/>
        <v>3.55</v>
      </c>
      <c r="V140" s="5">
        <f t="shared" si="25"/>
        <v>3.3</v>
      </c>
      <c r="W140" s="5">
        <f t="shared" si="25"/>
        <v>2.54</v>
      </c>
      <c r="X140" s="5">
        <f t="shared" si="25"/>
        <v>2.15</v>
      </c>
      <c r="Y140" s="5">
        <f t="shared" si="25"/>
        <v>1.75</v>
      </c>
      <c r="Z140" s="5">
        <f t="shared" si="25"/>
        <v>1.69</v>
      </c>
      <c r="AA140" s="5">
        <f t="shared" si="25"/>
        <v>1.5</v>
      </c>
      <c r="AB140" s="5">
        <f t="shared" si="25"/>
        <v>1.23</v>
      </c>
      <c r="AC140" s="5">
        <f t="shared" si="25"/>
        <v>1.02</v>
      </c>
      <c r="AD140" s="5">
        <f t="shared" si="25"/>
        <v>0.98</v>
      </c>
      <c r="AE140" s="5">
        <f t="shared" si="25"/>
        <v>0.83</v>
      </c>
      <c r="AF140" s="5">
        <f t="shared" si="25"/>
        <v>0.74</v>
      </c>
      <c r="AG140" s="5">
        <f t="shared" si="25"/>
        <v>0.67</v>
      </c>
      <c r="AH140" s="5">
        <f t="shared" si="17"/>
        <v>0.41</v>
      </c>
      <c r="AI140" s="5">
        <f t="shared" si="17"/>
        <v>0.27</v>
      </c>
      <c r="AJ140" s="5">
        <f t="shared" si="17"/>
        <v>0.2</v>
      </c>
    </row>
    <row r="141" spans="1:36">
      <c r="A141" t="str">
        <f>"casthouse_procurement_archetype_"&amp;TEXT(ROUND(Table21319[[#This Row],[2016]],1),"0.0")</f>
        <v>casthouse_procurement_archetype_16.4</v>
      </c>
      <c r="B141" s="5">
        <f t="shared" si="24"/>
        <v>16.4</v>
      </c>
      <c r="C141" s="5">
        <f t="shared" ref="C141:R156" si="26">MROUND((($B141-$AJ$2)*((C$2-$AJ$2)/($B$2-$AJ$2)))+$AJ$2,0.01)</f>
        <v>16.4</v>
      </c>
      <c r="D141" s="5">
        <f t="shared" si="26"/>
        <v>16.4</v>
      </c>
      <c r="E141" s="5">
        <f t="shared" si="26"/>
        <v>16</v>
      </c>
      <c r="F141" s="5">
        <f t="shared" si="26"/>
        <v>15.04</v>
      </c>
      <c r="G141" s="5">
        <f t="shared" si="26"/>
        <v>15.17</v>
      </c>
      <c r="H141" s="5">
        <f t="shared" si="26"/>
        <v>14.75</v>
      </c>
      <c r="I141" s="5">
        <f t="shared" si="26"/>
        <v>13.95</v>
      </c>
      <c r="J141" s="5">
        <f t="shared" si="26"/>
        <v>13.49</v>
      </c>
      <c r="K141" s="5">
        <f t="shared" si="26"/>
        <v>13.03</v>
      </c>
      <c r="L141" s="5">
        <f t="shared" si="26"/>
        <v>12.29</v>
      </c>
      <c r="M141" s="5">
        <f t="shared" si="26"/>
        <v>12.2</v>
      </c>
      <c r="N141" s="5">
        <f t="shared" si="26"/>
        <v>11.6</v>
      </c>
      <c r="O141" s="5">
        <f t="shared" si="26"/>
        <v>10.97</v>
      </c>
      <c r="P141" s="5">
        <f t="shared" si="26"/>
        <v>10.23</v>
      </c>
      <c r="Q141" s="5">
        <f t="shared" si="26"/>
        <v>8.79</v>
      </c>
      <c r="R141" s="5">
        <f t="shared" si="26"/>
        <v>6.85</v>
      </c>
      <c r="S141" s="5">
        <f t="shared" si="25"/>
        <v>6.23</v>
      </c>
      <c r="T141" s="5">
        <f t="shared" si="25"/>
        <v>4.89</v>
      </c>
      <c r="U141" s="5">
        <f t="shared" si="25"/>
        <v>3.53</v>
      </c>
      <c r="V141" s="5">
        <f t="shared" si="25"/>
        <v>3.28</v>
      </c>
      <c r="W141" s="5">
        <f t="shared" si="25"/>
        <v>2.52</v>
      </c>
      <c r="X141" s="5">
        <f t="shared" si="25"/>
        <v>2.14</v>
      </c>
      <c r="Y141" s="5">
        <f t="shared" si="25"/>
        <v>1.74</v>
      </c>
      <c r="Z141" s="5">
        <f t="shared" si="25"/>
        <v>1.68</v>
      </c>
      <c r="AA141" s="5">
        <f t="shared" si="25"/>
        <v>1.49</v>
      </c>
      <c r="AB141" s="5">
        <f t="shared" si="25"/>
        <v>1.23</v>
      </c>
      <c r="AC141" s="5">
        <f t="shared" si="25"/>
        <v>1.01</v>
      </c>
      <c r="AD141" s="5">
        <f t="shared" si="25"/>
        <v>0.97</v>
      </c>
      <c r="AE141" s="5">
        <f t="shared" si="25"/>
        <v>0.83</v>
      </c>
      <c r="AF141" s="5">
        <f t="shared" si="25"/>
        <v>0.74</v>
      </c>
      <c r="AG141" s="5">
        <f t="shared" si="25"/>
        <v>0.67</v>
      </c>
      <c r="AH141" s="5">
        <f t="shared" si="17"/>
        <v>0.41</v>
      </c>
      <c r="AI141" s="5">
        <f t="shared" si="17"/>
        <v>0.27</v>
      </c>
      <c r="AJ141" s="5">
        <f t="shared" si="17"/>
        <v>0.2</v>
      </c>
    </row>
    <row r="142" spans="1:36">
      <c r="A142" t="str">
        <f>"casthouse_procurement_archetype_"&amp;TEXT(ROUND(Table21319[[#This Row],[2016]],1),"0.0")</f>
        <v>casthouse_procurement_archetype_16.3</v>
      </c>
      <c r="B142" s="5">
        <f t="shared" si="24"/>
        <v>16.3</v>
      </c>
      <c r="C142" s="5">
        <f t="shared" si="26"/>
        <v>16.3</v>
      </c>
      <c r="D142" s="5">
        <f t="shared" si="26"/>
        <v>16.3</v>
      </c>
      <c r="E142" s="5">
        <f t="shared" si="26"/>
        <v>15.9</v>
      </c>
      <c r="F142" s="5">
        <f t="shared" si="26"/>
        <v>14.95</v>
      </c>
      <c r="G142" s="5">
        <f t="shared" si="26"/>
        <v>15.08</v>
      </c>
      <c r="H142" s="5">
        <f t="shared" si="26"/>
        <v>14.66</v>
      </c>
      <c r="I142" s="5">
        <f t="shared" si="26"/>
        <v>13.86</v>
      </c>
      <c r="J142" s="5">
        <f t="shared" si="26"/>
        <v>13.41</v>
      </c>
      <c r="K142" s="5">
        <f t="shared" si="26"/>
        <v>12.95</v>
      </c>
      <c r="L142" s="5">
        <f t="shared" si="26"/>
        <v>12.21</v>
      </c>
      <c r="M142" s="5">
        <f t="shared" si="26"/>
        <v>12.12</v>
      </c>
      <c r="N142" s="5">
        <f t="shared" si="26"/>
        <v>11.52</v>
      </c>
      <c r="O142" s="5">
        <f t="shared" si="26"/>
        <v>10.9</v>
      </c>
      <c r="P142" s="5">
        <f t="shared" si="26"/>
        <v>10.17</v>
      </c>
      <c r="Q142" s="5">
        <f t="shared" si="26"/>
        <v>8.74</v>
      </c>
      <c r="R142" s="5">
        <f t="shared" si="26"/>
        <v>6.81</v>
      </c>
      <c r="S142" s="5">
        <f t="shared" si="25"/>
        <v>6.19</v>
      </c>
      <c r="T142" s="5">
        <f t="shared" si="25"/>
        <v>4.86</v>
      </c>
      <c r="U142" s="5">
        <f t="shared" si="25"/>
        <v>3.51</v>
      </c>
      <c r="V142" s="5">
        <f t="shared" si="25"/>
        <v>3.26</v>
      </c>
      <c r="W142" s="5">
        <f t="shared" si="25"/>
        <v>2.51</v>
      </c>
      <c r="X142" s="5">
        <f t="shared" si="25"/>
        <v>2.13</v>
      </c>
      <c r="Y142" s="5">
        <f t="shared" si="25"/>
        <v>1.73</v>
      </c>
      <c r="Z142" s="5">
        <f t="shared" si="25"/>
        <v>1.67</v>
      </c>
      <c r="AA142" s="5">
        <f t="shared" si="25"/>
        <v>1.49</v>
      </c>
      <c r="AB142" s="5">
        <f t="shared" si="25"/>
        <v>1.22</v>
      </c>
      <c r="AC142" s="5">
        <f t="shared" si="25"/>
        <v>1.01</v>
      </c>
      <c r="AD142" s="5">
        <f t="shared" si="25"/>
        <v>0.97</v>
      </c>
      <c r="AE142" s="5">
        <f t="shared" si="25"/>
        <v>0.82</v>
      </c>
      <c r="AF142" s="5">
        <f t="shared" si="25"/>
        <v>0.73</v>
      </c>
      <c r="AG142" s="5">
        <f t="shared" si="25"/>
        <v>0.67</v>
      </c>
      <c r="AH142" s="5">
        <f t="shared" si="17"/>
        <v>0.41</v>
      </c>
      <c r="AI142" s="5">
        <f t="shared" si="17"/>
        <v>0.27</v>
      </c>
      <c r="AJ142" s="5">
        <f t="shared" si="17"/>
        <v>0.2</v>
      </c>
    </row>
    <row r="143" spans="1:36">
      <c r="A143" t="str">
        <f>"casthouse_procurement_archetype_"&amp;TEXT(ROUND(Table21319[[#This Row],[2016]],1),"0.0")</f>
        <v>casthouse_procurement_archetype_16.2</v>
      </c>
      <c r="B143" s="5">
        <f t="shared" si="24"/>
        <v>16.2</v>
      </c>
      <c r="C143" s="5">
        <f t="shared" si="26"/>
        <v>16.2</v>
      </c>
      <c r="D143" s="5">
        <f t="shared" si="26"/>
        <v>16.2</v>
      </c>
      <c r="E143" s="5">
        <f t="shared" si="26"/>
        <v>15.81</v>
      </c>
      <c r="F143" s="5">
        <f t="shared" si="26"/>
        <v>14.86</v>
      </c>
      <c r="G143" s="5">
        <f t="shared" si="26"/>
        <v>14.99</v>
      </c>
      <c r="H143" s="5">
        <f t="shared" si="26"/>
        <v>14.58</v>
      </c>
      <c r="I143" s="5">
        <f t="shared" si="26"/>
        <v>13.78</v>
      </c>
      <c r="J143" s="5">
        <f t="shared" si="26"/>
        <v>13.33</v>
      </c>
      <c r="K143" s="5">
        <f t="shared" si="26"/>
        <v>12.87</v>
      </c>
      <c r="L143" s="5">
        <f t="shared" si="26"/>
        <v>12.14</v>
      </c>
      <c r="M143" s="5">
        <f t="shared" si="26"/>
        <v>12.05</v>
      </c>
      <c r="N143" s="5">
        <f t="shared" si="26"/>
        <v>11.45</v>
      </c>
      <c r="O143" s="5">
        <f t="shared" si="26"/>
        <v>10.84</v>
      </c>
      <c r="P143" s="5">
        <f t="shared" si="26"/>
        <v>10.11</v>
      </c>
      <c r="Q143" s="5">
        <f t="shared" si="26"/>
        <v>8.68</v>
      </c>
      <c r="R143" s="5">
        <f t="shared" si="26"/>
        <v>6.77</v>
      </c>
      <c r="S143" s="5">
        <f t="shared" si="25"/>
        <v>6.16</v>
      </c>
      <c r="T143" s="5">
        <f t="shared" si="25"/>
        <v>4.83</v>
      </c>
      <c r="U143" s="5">
        <f t="shared" si="25"/>
        <v>3.49</v>
      </c>
      <c r="V143" s="5">
        <f t="shared" si="25"/>
        <v>3.24</v>
      </c>
      <c r="W143" s="5">
        <f t="shared" si="25"/>
        <v>2.49</v>
      </c>
      <c r="X143" s="5">
        <f t="shared" si="25"/>
        <v>2.11</v>
      </c>
      <c r="Y143" s="5">
        <f t="shared" si="25"/>
        <v>1.72</v>
      </c>
      <c r="Z143" s="5">
        <f t="shared" si="25"/>
        <v>1.66</v>
      </c>
      <c r="AA143" s="5">
        <f t="shared" si="25"/>
        <v>1.48</v>
      </c>
      <c r="AB143" s="5">
        <f t="shared" si="25"/>
        <v>1.22</v>
      </c>
      <c r="AC143" s="5">
        <f t="shared" si="25"/>
        <v>1</v>
      </c>
      <c r="AD143" s="5">
        <f t="shared" si="25"/>
        <v>0.97</v>
      </c>
      <c r="AE143" s="5">
        <f t="shared" si="25"/>
        <v>0.82</v>
      </c>
      <c r="AF143" s="5">
        <f t="shared" si="25"/>
        <v>0.73</v>
      </c>
      <c r="AG143" s="5">
        <f t="shared" si="25"/>
        <v>0.66</v>
      </c>
      <c r="AH143" s="5">
        <f t="shared" si="17"/>
        <v>0.41</v>
      </c>
      <c r="AI143" s="5">
        <f t="shared" si="17"/>
        <v>0.27</v>
      </c>
      <c r="AJ143" s="5">
        <f t="shared" si="17"/>
        <v>0.2</v>
      </c>
    </row>
    <row r="144" spans="1:36">
      <c r="A144" t="str">
        <f>"casthouse_procurement_archetype_"&amp;TEXT(ROUND(Table21319[[#This Row],[2016]],1),"0.0")</f>
        <v>casthouse_procurement_archetype_16.1</v>
      </c>
      <c r="B144" s="5">
        <f t="shared" si="24"/>
        <v>16.1</v>
      </c>
      <c r="C144" s="5">
        <f t="shared" si="26"/>
        <v>16.1</v>
      </c>
      <c r="D144" s="5">
        <f t="shared" si="26"/>
        <v>16.1</v>
      </c>
      <c r="E144" s="5">
        <f t="shared" si="26"/>
        <v>15.71</v>
      </c>
      <c r="F144" s="5">
        <f t="shared" si="26"/>
        <v>14.76</v>
      </c>
      <c r="G144" s="5">
        <f t="shared" si="26"/>
        <v>14.9</v>
      </c>
      <c r="H144" s="5">
        <f t="shared" si="26"/>
        <v>14.49</v>
      </c>
      <c r="I144" s="5">
        <f t="shared" si="26"/>
        <v>13.69</v>
      </c>
      <c r="J144" s="5">
        <f t="shared" si="26"/>
        <v>13.25</v>
      </c>
      <c r="K144" s="5">
        <f t="shared" si="26"/>
        <v>12.79</v>
      </c>
      <c r="L144" s="5">
        <f t="shared" si="26"/>
        <v>12.06</v>
      </c>
      <c r="M144" s="5">
        <f t="shared" si="26"/>
        <v>11.98</v>
      </c>
      <c r="N144" s="5">
        <f t="shared" si="26"/>
        <v>11.38</v>
      </c>
      <c r="O144" s="5">
        <f t="shared" si="26"/>
        <v>10.77</v>
      </c>
      <c r="P144" s="5">
        <f t="shared" si="26"/>
        <v>10.04</v>
      </c>
      <c r="Q144" s="5">
        <f t="shared" si="26"/>
        <v>8.63</v>
      </c>
      <c r="R144" s="5">
        <f t="shared" si="26"/>
        <v>6.73</v>
      </c>
      <c r="S144" s="5">
        <f t="shared" si="25"/>
        <v>6.12</v>
      </c>
      <c r="T144" s="5">
        <f t="shared" si="25"/>
        <v>4.8</v>
      </c>
      <c r="U144" s="5">
        <f t="shared" si="25"/>
        <v>3.47</v>
      </c>
      <c r="V144" s="5">
        <f t="shared" si="25"/>
        <v>3.22</v>
      </c>
      <c r="W144" s="5">
        <f t="shared" si="25"/>
        <v>2.48</v>
      </c>
      <c r="X144" s="5">
        <f t="shared" si="25"/>
        <v>2.1</v>
      </c>
      <c r="Y144" s="5">
        <f t="shared" si="25"/>
        <v>1.71</v>
      </c>
      <c r="Z144" s="5">
        <f t="shared" si="25"/>
        <v>1.65</v>
      </c>
      <c r="AA144" s="5">
        <f t="shared" si="25"/>
        <v>1.47</v>
      </c>
      <c r="AB144" s="5">
        <f t="shared" si="25"/>
        <v>1.21</v>
      </c>
      <c r="AC144" s="5">
        <f t="shared" si="25"/>
        <v>1</v>
      </c>
      <c r="AD144" s="5">
        <f t="shared" si="25"/>
        <v>0.96</v>
      </c>
      <c r="AE144" s="5">
        <f t="shared" si="25"/>
        <v>0.82</v>
      </c>
      <c r="AF144" s="5">
        <f t="shared" si="25"/>
        <v>0.73</v>
      </c>
      <c r="AG144" s="5">
        <f t="shared" si="25"/>
        <v>0.66</v>
      </c>
      <c r="AH144" s="5">
        <f t="shared" si="17"/>
        <v>0.41</v>
      </c>
      <c r="AI144" s="5">
        <f t="shared" si="17"/>
        <v>0.27</v>
      </c>
      <c r="AJ144" s="5">
        <f t="shared" si="17"/>
        <v>0.2</v>
      </c>
    </row>
    <row r="145" spans="1:36">
      <c r="A145" t="str">
        <f>"casthouse_procurement_archetype_"&amp;TEXT(ROUND(Table21319[[#This Row],[2016]],1),"0.0")</f>
        <v>casthouse_procurement_archetype_16.0</v>
      </c>
      <c r="B145" s="5">
        <f t="shared" si="24"/>
        <v>16</v>
      </c>
      <c r="C145" s="5">
        <f t="shared" si="26"/>
        <v>16</v>
      </c>
      <c r="D145" s="5">
        <f t="shared" si="26"/>
        <v>16</v>
      </c>
      <c r="E145" s="5">
        <f t="shared" si="26"/>
        <v>15.61</v>
      </c>
      <c r="F145" s="5">
        <f t="shared" si="26"/>
        <v>14.67</v>
      </c>
      <c r="G145" s="5">
        <f t="shared" si="26"/>
        <v>14.8</v>
      </c>
      <c r="H145" s="5">
        <f t="shared" si="26"/>
        <v>14.4</v>
      </c>
      <c r="I145" s="5">
        <f t="shared" si="26"/>
        <v>13.61</v>
      </c>
      <c r="J145" s="5">
        <f t="shared" si="26"/>
        <v>13.16</v>
      </c>
      <c r="K145" s="5">
        <f t="shared" si="26"/>
        <v>12.71</v>
      </c>
      <c r="L145" s="5">
        <f t="shared" si="26"/>
        <v>11.99</v>
      </c>
      <c r="M145" s="5">
        <f t="shared" si="26"/>
        <v>11.9</v>
      </c>
      <c r="N145" s="5">
        <f t="shared" si="26"/>
        <v>11.31</v>
      </c>
      <c r="O145" s="5">
        <f t="shared" si="26"/>
        <v>10.7</v>
      </c>
      <c r="P145" s="5">
        <f t="shared" si="26"/>
        <v>9.98</v>
      </c>
      <c r="Q145" s="5">
        <f t="shared" si="26"/>
        <v>8.58</v>
      </c>
      <c r="R145" s="5">
        <f t="shared" si="26"/>
        <v>6.69</v>
      </c>
      <c r="S145" s="5">
        <f t="shared" si="25"/>
        <v>6.08</v>
      </c>
      <c r="T145" s="5">
        <f t="shared" si="25"/>
        <v>4.77</v>
      </c>
      <c r="U145" s="5">
        <f t="shared" si="25"/>
        <v>3.45</v>
      </c>
      <c r="V145" s="5">
        <f t="shared" si="25"/>
        <v>3.2</v>
      </c>
      <c r="W145" s="5">
        <f t="shared" si="25"/>
        <v>2.47</v>
      </c>
      <c r="X145" s="5">
        <f t="shared" si="25"/>
        <v>2.09</v>
      </c>
      <c r="Y145" s="5">
        <f t="shared" si="25"/>
        <v>1.7</v>
      </c>
      <c r="Z145" s="5">
        <f t="shared" si="25"/>
        <v>1.64</v>
      </c>
      <c r="AA145" s="5">
        <f t="shared" si="25"/>
        <v>1.46</v>
      </c>
      <c r="AB145" s="5">
        <f t="shared" si="25"/>
        <v>1.2</v>
      </c>
      <c r="AC145" s="5">
        <f t="shared" si="25"/>
        <v>0.99</v>
      </c>
      <c r="AD145" s="5">
        <f t="shared" si="25"/>
        <v>0.96</v>
      </c>
      <c r="AE145" s="5">
        <f t="shared" si="25"/>
        <v>0.81</v>
      </c>
      <c r="AF145" s="5">
        <f t="shared" si="25"/>
        <v>0.72</v>
      </c>
      <c r="AG145" s="5">
        <f t="shared" si="25"/>
        <v>0.66</v>
      </c>
      <c r="AH145" s="5">
        <f t="shared" si="17"/>
        <v>0.41</v>
      </c>
      <c r="AI145" s="5">
        <f t="shared" si="17"/>
        <v>0.27</v>
      </c>
      <c r="AJ145" s="5">
        <f t="shared" si="17"/>
        <v>0.2</v>
      </c>
    </row>
    <row r="146" spans="1:36">
      <c r="A146" t="str">
        <f>"casthouse_procurement_archetype_"&amp;TEXT(ROUND(Table21319[[#This Row],[2016]],1),"0.0")</f>
        <v>casthouse_procurement_archetype_15.9</v>
      </c>
      <c r="B146" s="5">
        <f t="shared" si="24"/>
        <v>15.9</v>
      </c>
      <c r="C146" s="5">
        <f t="shared" si="26"/>
        <v>15.9</v>
      </c>
      <c r="D146" s="5">
        <f t="shared" si="26"/>
        <v>15.9</v>
      </c>
      <c r="E146" s="5">
        <f t="shared" si="26"/>
        <v>15.51</v>
      </c>
      <c r="F146" s="5">
        <f t="shared" si="26"/>
        <v>14.58</v>
      </c>
      <c r="G146" s="5">
        <f t="shared" si="26"/>
        <v>14.71</v>
      </c>
      <c r="H146" s="5">
        <f t="shared" si="26"/>
        <v>14.31</v>
      </c>
      <c r="I146" s="5">
        <f t="shared" si="26"/>
        <v>13.52</v>
      </c>
      <c r="J146" s="5">
        <f t="shared" si="26"/>
        <v>13.08</v>
      </c>
      <c r="K146" s="5">
        <f t="shared" si="26"/>
        <v>12.63</v>
      </c>
      <c r="L146" s="5">
        <f t="shared" si="26"/>
        <v>11.92</v>
      </c>
      <c r="M146" s="5">
        <f t="shared" si="26"/>
        <v>11.83</v>
      </c>
      <c r="N146" s="5">
        <f t="shared" si="26"/>
        <v>11.24</v>
      </c>
      <c r="O146" s="5">
        <f t="shared" si="26"/>
        <v>10.64</v>
      </c>
      <c r="P146" s="5">
        <f t="shared" si="26"/>
        <v>9.92</v>
      </c>
      <c r="Q146" s="5">
        <f t="shared" si="26"/>
        <v>8.53</v>
      </c>
      <c r="R146" s="5">
        <f t="shared" si="26"/>
        <v>6.65</v>
      </c>
      <c r="S146" s="5">
        <f t="shared" si="25"/>
        <v>6.05</v>
      </c>
      <c r="T146" s="5">
        <f t="shared" si="25"/>
        <v>4.74</v>
      </c>
      <c r="U146" s="5">
        <f t="shared" si="25"/>
        <v>3.43</v>
      </c>
      <c r="V146" s="5">
        <f t="shared" si="25"/>
        <v>3.19</v>
      </c>
      <c r="W146" s="5">
        <f t="shared" si="25"/>
        <v>2.45</v>
      </c>
      <c r="X146" s="5">
        <f t="shared" si="25"/>
        <v>2.08</v>
      </c>
      <c r="Y146" s="5">
        <f t="shared" si="25"/>
        <v>1.69</v>
      </c>
      <c r="Z146" s="5">
        <f t="shared" si="25"/>
        <v>1.63</v>
      </c>
      <c r="AA146" s="5">
        <f t="shared" si="25"/>
        <v>1.45</v>
      </c>
      <c r="AB146" s="5">
        <f t="shared" si="25"/>
        <v>1.2</v>
      </c>
      <c r="AC146" s="5">
        <f t="shared" si="25"/>
        <v>0.99</v>
      </c>
      <c r="AD146" s="5">
        <f t="shared" si="25"/>
        <v>0.95</v>
      </c>
      <c r="AE146" s="5">
        <f t="shared" si="25"/>
        <v>0.81</v>
      </c>
      <c r="AF146" s="5">
        <f t="shared" si="25"/>
        <v>0.72</v>
      </c>
      <c r="AG146" s="5">
        <f t="shared" si="25"/>
        <v>0.65</v>
      </c>
      <c r="AH146" s="5">
        <f t="shared" si="17"/>
        <v>0.41</v>
      </c>
      <c r="AI146" s="5">
        <f t="shared" si="17"/>
        <v>0.27</v>
      </c>
      <c r="AJ146" s="5">
        <f t="shared" si="17"/>
        <v>0.2</v>
      </c>
    </row>
    <row r="147" spans="1:36">
      <c r="A147" t="str">
        <f>"casthouse_procurement_archetype_"&amp;TEXT(ROUND(Table21319[[#This Row],[2016]],1),"0.0")</f>
        <v>casthouse_procurement_archetype_15.8</v>
      </c>
      <c r="B147" s="5">
        <f t="shared" si="24"/>
        <v>15.8</v>
      </c>
      <c r="C147" s="5">
        <f t="shared" si="26"/>
        <v>15.8</v>
      </c>
      <c r="D147" s="5">
        <f t="shared" si="26"/>
        <v>15.8</v>
      </c>
      <c r="E147" s="5">
        <f t="shared" si="26"/>
        <v>15.42</v>
      </c>
      <c r="F147" s="5">
        <f t="shared" si="26"/>
        <v>14.49</v>
      </c>
      <c r="G147" s="5">
        <f t="shared" si="26"/>
        <v>14.62</v>
      </c>
      <c r="H147" s="5">
        <f t="shared" si="26"/>
        <v>14.22</v>
      </c>
      <c r="I147" s="5">
        <f t="shared" si="26"/>
        <v>13.44</v>
      </c>
      <c r="J147" s="5">
        <f t="shared" si="26"/>
        <v>13</v>
      </c>
      <c r="K147" s="5">
        <f t="shared" si="26"/>
        <v>12.55</v>
      </c>
      <c r="L147" s="5">
        <f t="shared" si="26"/>
        <v>11.84</v>
      </c>
      <c r="M147" s="5">
        <f t="shared" si="26"/>
        <v>11.75</v>
      </c>
      <c r="N147" s="5">
        <f t="shared" si="26"/>
        <v>11.17</v>
      </c>
      <c r="O147" s="5">
        <f t="shared" si="26"/>
        <v>10.57</v>
      </c>
      <c r="P147" s="5">
        <f t="shared" si="26"/>
        <v>9.86</v>
      </c>
      <c r="Q147" s="5">
        <f t="shared" si="26"/>
        <v>8.47</v>
      </c>
      <c r="R147" s="5">
        <f t="shared" si="26"/>
        <v>6.6</v>
      </c>
      <c r="S147" s="5">
        <f t="shared" si="25"/>
        <v>6.01</v>
      </c>
      <c r="T147" s="5">
        <f t="shared" si="25"/>
        <v>4.71</v>
      </c>
      <c r="U147" s="5">
        <f t="shared" si="25"/>
        <v>3.41</v>
      </c>
      <c r="V147" s="5">
        <f t="shared" si="25"/>
        <v>3.17</v>
      </c>
      <c r="W147" s="5">
        <f t="shared" si="25"/>
        <v>2.44</v>
      </c>
      <c r="X147" s="5">
        <f t="shared" si="25"/>
        <v>2.07</v>
      </c>
      <c r="Y147" s="5">
        <f t="shared" si="25"/>
        <v>1.68</v>
      </c>
      <c r="Z147" s="5">
        <f t="shared" si="25"/>
        <v>1.62</v>
      </c>
      <c r="AA147" s="5">
        <f t="shared" si="25"/>
        <v>1.45</v>
      </c>
      <c r="AB147" s="5">
        <f t="shared" si="25"/>
        <v>1.19</v>
      </c>
      <c r="AC147" s="5">
        <f t="shared" si="25"/>
        <v>0.98</v>
      </c>
      <c r="AD147" s="5">
        <f t="shared" si="25"/>
        <v>0.95</v>
      </c>
      <c r="AE147" s="5">
        <f t="shared" si="25"/>
        <v>0.8</v>
      </c>
      <c r="AF147" s="5">
        <f t="shared" si="25"/>
        <v>0.72</v>
      </c>
      <c r="AG147" s="5">
        <f t="shared" si="25"/>
        <v>0.65</v>
      </c>
      <c r="AH147" s="5">
        <f t="shared" ref="AH147:AJ210" si="27">MROUND((($B147-$AJ$2)*((AH$2-$AJ$2)/($B$2-$AJ$2)))+$AJ$2,0.01)</f>
        <v>0.41</v>
      </c>
      <c r="AI147" s="5">
        <f t="shared" si="27"/>
        <v>0.27</v>
      </c>
      <c r="AJ147" s="5">
        <f t="shared" si="27"/>
        <v>0.2</v>
      </c>
    </row>
    <row r="148" spans="1:36">
      <c r="A148" t="str">
        <f>"casthouse_procurement_archetype_"&amp;TEXT(ROUND(Table21319[[#This Row],[2016]],1),"0.0")</f>
        <v>casthouse_procurement_archetype_15.7</v>
      </c>
      <c r="B148" s="5">
        <f t="shared" si="24"/>
        <v>15.7</v>
      </c>
      <c r="C148" s="5">
        <f t="shared" si="26"/>
        <v>15.7</v>
      </c>
      <c r="D148" s="5">
        <f t="shared" si="26"/>
        <v>15.7</v>
      </c>
      <c r="E148" s="5">
        <f t="shared" si="26"/>
        <v>15.32</v>
      </c>
      <c r="F148" s="5">
        <f t="shared" si="26"/>
        <v>14.4</v>
      </c>
      <c r="G148" s="5">
        <f t="shared" si="26"/>
        <v>14.53</v>
      </c>
      <c r="H148" s="5">
        <f t="shared" si="26"/>
        <v>14.13</v>
      </c>
      <c r="I148" s="5">
        <f t="shared" si="26"/>
        <v>13.35</v>
      </c>
      <c r="J148" s="5">
        <f t="shared" si="26"/>
        <v>12.92</v>
      </c>
      <c r="K148" s="5">
        <f t="shared" si="26"/>
        <v>12.47</v>
      </c>
      <c r="L148" s="5">
        <f t="shared" si="26"/>
        <v>11.77</v>
      </c>
      <c r="M148" s="5">
        <f t="shared" si="26"/>
        <v>11.68</v>
      </c>
      <c r="N148" s="5">
        <f t="shared" si="26"/>
        <v>11.1</v>
      </c>
      <c r="O148" s="5">
        <f t="shared" si="26"/>
        <v>10.5</v>
      </c>
      <c r="P148" s="5">
        <f t="shared" si="26"/>
        <v>9.8</v>
      </c>
      <c r="Q148" s="5">
        <f t="shared" si="26"/>
        <v>8.42</v>
      </c>
      <c r="R148" s="5">
        <f t="shared" si="26"/>
        <v>6.56</v>
      </c>
      <c r="S148" s="5">
        <f t="shared" si="25"/>
        <v>5.97</v>
      </c>
      <c r="T148" s="5">
        <f t="shared" si="25"/>
        <v>4.68</v>
      </c>
      <c r="U148" s="5">
        <f t="shared" si="25"/>
        <v>3.39</v>
      </c>
      <c r="V148" s="5">
        <f t="shared" si="25"/>
        <v>3.15</v>
      </c>
      <c r="W148" s="5">
        <f t="shared" si="25"/>
        <v>2.42</v>
      </c>
      <c r="X148" s="5">
        <f t="shared" si="25"/>
        <v>2.05</v>
      </c>
      <c r="Y148" s="5">
        <f t="shared" si="25"/>
        <v>1.67</v>
      </c>
      <c r="Z148" s="5">
        <f t="shared" si="25"/>
        <v>1.61</v>
      </c>
      <c r="AA148" s="5">
        <f t="shared" si="25"/>
        <v>1.44</v>
      </c>
      <c r="AB148" s="5">
        <f t="shared" si="25"/>
        <v>1.18</v>
      </c>
      <c r="AC148" s="5">
        <f t="shared" si="25"/>
        <v>0.98</v>
      </c>
      <c r="AD148" s="5">
        <f t="shared" si="25"/>
        <v>0.94</v>
      </c>
      <c r="AE148" s="5">
        <f t="shared" si="25"/>
        <v>0.8</v>
      </c>
      <c r="AF148" s="5">
        <f t="shared" si="25"/>
        <v>0.71</v>
      </c>
      <c r="AG148" s="5">
        <f t="shared" si="25"/>
        <v>0.65</v>
      </c>
      <c r="AH148" s="5">
        <f t="shared" si="27"/>
        <v>0.4</v>
      </c>
      <c r="AI148" s="5">
        <f t="shared" si="27"/>
        <v>0.27</v>
      </c>
      <c r="AJ148" s="5">
        <f t="shared" si="27"/>
        <v>0.2</v>
      </c>
    </row>
    <row r="149" spans="1:36">
      <c r="A149" t="str">
        <f>"casthouse_procurement_archetype_"&amp;TEXT(ROUND(Table21319[[#This Row],[2016]],1),"0.0")</f>
        <v>casthouse_procurement_archetype_15.6</v>
      </c>
      <c r="B149" s="5">
        <f t="shared" si="24"/>
        <v>15.6</v>
      </c>
      <c r="C149" s="5">
        <f t="shared" si="26"/>
        <v>15.6</v>
      </c>
      <c r="D149" s="5">
        <f t="shared" si="26"/>
        <v>15.6</v>
      </c>
      <c r="E149" s="5">
        <f t="shared" si="26"/>
        <v>15.22</v>
      </c>
      <c r="F149" s="5">
        <f t="shared" si="26"/>
        <v>14.31</v>
      </c>
      <c r="G149" s="5">
        <f t="shared" si="26"/>
        <v>14.43</v>
      </c>
      <c r="H149" s="5">
        <f t="shared" si="26"/>
        <v>14.04</v>
      </c>
      <c r="I149" s="5">
        <f t="shared" si="26"/>
        <v>13.27</v>
      </c>
      <c r="J149" s="5">
        <f t="shared" si="26"/>
        <v>12.84</v>
      </c>
      <c r="K149" s="5">
        <f t="shared" si="26"/>
        <v>12.39</v>
      </c>
      <c r="L149" s="5">
        <f t="shared" si="26"/>
        <v>11.69</v>
      </c>
      <c r="M149" s="5">
        <f t="shared" si="26"/>
        <v>11.61</v>
      </c>
      <c r="N149" s="5">
        <f t="shared" si="26"/>
        <v>11.03</v>
      </c>
      <c r="O149" s="5">
        <f t="shared" si="26"/>
        <v>10.44</v>
      </c>
      <c r="P149" s="5">
        <f t="shared" si="26"/>
        <v>9.73</v>
      </c>
      <c r="Q149" s="5">
        <f t="shared" si="26"/>
        <v>8.37</v>
      </c>
      <c r="R149" s="5">
        <f t="shared" si="26"/>
        <v>6.52</v>
      </c>
      <c r="S149" s="5">
        <f t="shared" si="25"/>
        <v>5.93</v>
      </c>
      <c r="T149" s="5">
        <f t="shared" si="25"/>
        <v>4.66</v>
      </c>
      <c r="U149" s="5">
        <f t="shared" si="25"/>
        <v>3.37</v>
      </c>
      <c r="V149" s="5">
        <f t="shared" si="25"/>
        <v>3.13</v>
      </c>
      <c r="W149" s="5">
        <f t="shared" si="25"/>
        <v>2.41</v>
      </c>
      <c r="X149" s="5">
        <f t="shared" si="25"/>
        <v>2.04</v>
      </c>
      <c r="Y149" s="5">
        <f t="shared" si="25"/>
        <v>1.66</v>
      </c>
      <c r="Z149" s="5">
        <f t="shared" si="25"/>
        <v>1.6</v>
      </c>
      <c r="AA149" s="5">
        <f t="shared" si="25"/>
        <v>1.43</v>
      </c>
      <c r="AB149" s="5">
        <f t="shared" si="25"/>
        <v>1.18</v>
      </c>
      <c r="AC149" s="5">
        <f t="shared" si="25"/>
        <v>0.97</v>
      </c>
      <c r="AD149" s="5">
        <f t="shared" si="25"/>
        <v>0.94</v>
      </c>
      <c r="AE149" s="5">
        <f t="shared" si="25"/>
        <v>0.8</v>
      </c>
      <c r="AF149" s="5">
        <f t="shared" si="25"/>
        <v>0.71</v>
      </c>
      <c r="AG149" s="5">
        <f t="shared" si="25"/>
        <v>0.65</v>
      </c>
      <c r="AH149" s="5">
        <f t="shared" si="27"/>
        <v>0.4</v>
      </c>
      <c r="AI149" s="5">
        <f t="shared" si="27"/>
        <v>0.27</v>
      </c>
      <c r="AJ149" s="5">
        <f t="shared" si="27"/>
        <v>0.2</v>
      </c>
    </row>
    <row r="150" spans="1:36">
      <c r="A150" t="str">
        <f>"casthouse_procurement_archetype_"&amp;TEXT(ROUND(Table21319[[#This Row],[2016]],1),"0.0")</f>
        <v>casthouse_procurement_archetype_15.5</v>
      </c>
      <c r="B150" s="5">
        <f t="shared" si="24"/>
        <v>15.5</v>
      </c>
      <c r="C150" s="5">
        <f t="shared" si="26"/>
        <v>15.5</v>
      </c>
      <c r="D150" s="5">
        <f t="shared" si="26"/>
        <v>15.5</v>
      </c>
      <c r="E150" s="5">
        <f t="shared" si="26"/>
        <v>15.12</v>
      </c>
      <c r="F150" s="5">
        <f t="shared" si="26"/>
        <v>14.21</v>
      </c>
      <c r="G150" s="5">
        <f t="shared" si="26"/>
        <v>14.34</v>
      </c>
      <c r="H150" s="5">
        <f t="shared" si="26"/>
        <v>13.95</v>
      </c>
      <c r="I150" s="5">
        <f t="shared" si="26"/>
        <v>13.18</v>
      </c>
      <c r="J150" s="5">
        <f t="shared" si="26"/>
        <v>12.75</v>
      </c>
      <c r="K150" s="5">
        <f t="shared" si="26"/>
        <v>12.31</v>
      </c>
      <c r="L150" s="5">
        <f t="shared" si="26"/>
        <v>11.62</v>
      </c>
      <c r="M150" s="5">
        <f t="shared" si="26"/>
        <v>11.53</v>
      </c>
      <c r="N150" s="5">
        <f t="shared" si="26"/>
        <v>10.96</v>
      </c>
      <c r="O150" s="5">
        <f t="shared" si="26"/>
        <v>10.37</v>
      </c>
      <c r="P150" s="5">
        <f t="shared" si="26"/>
        <v>9.67</v>
      </c>
      <c r="Q150" s="5">
        <f t="shared" si="26"/>
        <v>8.31</v>
      </c>
      <c r="R150" s="5">
        <f t="shared" si="26"/>
        <v>6.48</v>
      </c>
      <c r="S150" s="5">
        <f t="shared" si="25"/>
        <v>5.9</v>
      </c>
      <c r="T150" s="5">
        <f t="shared" si="25"/>
        <v>4.63</v>
      </c>
      <c r="U150" s="5">
        <f t="shared" si="25"/>
        <v>3.35</v>
      </c>
      <c r="V150" s="5">
        <f t="shared" si="25"/>
        <v>3.11</v>
      </c>
      <c r="W150" s="5">
        <f t="shared" si="25"/>
        <v>2.39</v>
      </c>
      <c r="X150" s="5">
        <f t="shared" si="25"/>
        <v>2.03</v>
      </c>
      <c r="Y150" s="5">
        <f t="shared" si="25"/>
        <v>1.65</v>
      </c>
      <c r="Z150" s="5">
        <f t="shared" si="25"/>
        <v>1.59</v>
      </c>
      <c r="AA150" s="5">
        <f t="shared" si="25"/>
        <v>1.42</v>
      </c>
      <c r="AB150" s="5">
        <f t="shared" si="25"/>
        <v>1.17</v>
      </c>
      <c r="AC150" s="5">
        <f t="shared" si="25"/>
        <v>0.97</v>
      </c>
      <c r="AD150" s="5">
        <f t="shared" si="25"/>
        <v>0.93</v>
      </c>
      <c r="AE150" s="5">
        <f t="shared" si="25"/>
        <v>0.79</v>
      </c>
      <c r="AF150" s="5">
        <f t="shared" si="25"/>
        <v>0.71</v>
      </c>
      <c r="AG150" s="5">
        <f t="shared" si="25"/>
        <v>0.64</v>
      </c>
      <c r="AH150" s="5">
        <f t="shared" si="27"/>
        <v>0.4</v>
      </c>
      <c r="AI150" s="5">
        <f t="shared" si="27"/>
        <v>0.27</v>
      </c>
      <c r="AJ150" s="5">
        <f t="shared" si="27"/>
        <v>0.2</v>
      </c>
    </row>
    <row r="151" spans="1:36">
      <c r="A151" t="str">
        <f>"casthouse_procurement_archetype_"&amp;TEXT(ROUND(Table21319[[#This Row],[2016]],1),"0.0")</f>
        <v>casthouse_procurement_archetype_15.4</v>
      </c>
      <c r="B151" s="5">
        <f t="shared" si="24"/>
        <v>15.4</v>
      </c>
      <c r="C151" s="5">
        <f t="shared" si="26"/>
        <v>15.4</v>
      </c>
      <c r="D151" s="5">
        <f t="shared" si="26"/>
        <v>15.4</v>
      </c>
      <c r="E151" s="5">
        <f t="shared" si="26"/>
        <v>15.03</v>
      </c>
      <c r="F151" s="5">
        <f t="shared" si="26"/>
        <v>14.12</v>
      </c>
      <c r="G151" s="5">
        <f t="shared" si="26"/>
        <v>14.25</v>
      </c>
      <c r="H151" s="5">
        <f t="shared" si="26"/>
        <v>13.86</v>
      </c>
      <c r="I151" s="5">
        <f t="shared" si="26"/>
        <v>13.1</v>
      </c>
      <c r="J151" s="5">
        <f t="shared" si="26"/>
        <v>12.67</v>
      </c>
      <c r="K151" s="5">
        <f t="shared" si="26"/>
        <v>12.23</v>
      </c>
      <c r="L151" s="5">
        <f t="shared" si="26"/>
        <v>11.54</v>
      </c>
      <c r="M151" s="5">
        <f t="shared" si="26"/>
        <v>11.46</v>
      </c>
      <c r="N151" s="5">
        <f t="shared" si="26"/>
        <v>10.89</v>
      </c>
      <c r="O151" s="5">
        <f t="shared" si="26"/>
        <v>10.3</v>
      </c>
      <c r="P151" s="5">
        <f t="shared" si="26"/>
        <v>9.61</v>
      </c>
      <c r="Q151" s="5">
        <f t="shared" si="26"/>
        <v>8.26</v>
      </c>
      <c r="R151" s="5">
        <f t="shared" si="26"/>
        <v>6.44</v>
      </c>
      <c r="S151" s="5">
        <f t="shared" si="25"/>
        <v>5.86</v>
      </c>
      <c r="T151" s="5">
        <f t="shared" si="25"/>
        <v>4.6</v>
      </c>
      <c r="U151" s="5">
        <f t="shared" si="25"/>
        <v>3.33</v>
      </c>
      <c r="V151" s="5">
        <f t="shared" si="25"/>
        <v>3.09</v>
      </c>
      <c r="W151" s="5">
        <f t="shared" si="25"/>
        <v>2.38</v>
      </c>
      <c r="X151" s="5">
        <f t="shared" si="25"/>
        <v>2.02</v>
      </c>
      <c r="Y151" s="5">
        <f t="shared" si="25"/>
        <v>1.64</v>
      </c>
      <c r="Z151" s="5">
        <f t="shared" si="25"/>
        <v>1.59</v>
      </c>
      <c r="AA151" s="5">
        <f t="shared" si="25"/>
        <v>1.41</v>
      </c>
      <c r="AB151" s="5">
        <f t="shared" si="25"/>
        <v>1.17</v>
      </c>
      <c r="AC151" s="5">
        <f t="shared" si="25"/>
        <v>0.96</v>
      </c>
      <c r="AD151" s="5">
        <f t="shared" si="25"/>
        <v>0.93</v>
      </c>
      <c r="AE151" s="5">
        <f t="shared" si="25"/>
        <v>0.79</v>
      </c>
      <c r="AF151" s="5">
        <f t="shared" si="25"/>
        <v>0.7</v>
      </c>
      <c r="AG151" s="5">
        <f t="shared" si="25"/>
        <v>0.64</v>
      </c>
      <c r="AH151" s="5">
        <f t="shared" si="27"/>
        <v>0.4</v>
      </c>
      <c r="AI151" s="5">
        <f t="shared" si="27"/>
        <v>0.26</v>
      </c>
      <c r="AJ151" s="5">
        <f t="shared" si="27"/>
        <v>0.2</v>
      </c>
    </row>
    <row r="152" spans="1:36">
      <c r="A152" t="str">
        <f>"casthouse_procurement_archetype_"&amp;TEXT(ROUND(Table21319[[#This Row],[2016]],1),"0.0")</f>
        <v>casthouse_procurement_archetype_15.3</v>
      </c>
      <c r="B152" s="5">
        <f t="shared" si="24"/>
        <v>15.3</v>
      </c>
      <c r="C152" s="5">
        <f t="shared" si="26"/>
        <v>15.3</v>
      </c>
      <c r="D152" s="5">
        <f t="shared" si="26"/>
        <v>15.3</v>
      </c>
      <c r="E152" s="5">
        <f t="shared" si="26"/>
        <v>14.93</v>
      </c>
      <c r="F152" s="5">
        <f t="shared" si="26"/>
        <v>14.03</v>
      </c>
      <c r="G152" s="5">
        <f t="shared" si="26"/>
        <v>14.16</v>
      </c>
      <c r="H152" s="5">
        <f t="shared" si="26"/>
        <v>13.77</v>
      </c>
      <c r="I152" s="5">
        <f t="shared" si="26"/>
        <v>13.01</v>
      </c>
      <c r="J152" s="5">
        <f t="shared" si="26"/>
        <v>12.59</v>
      </c>
      <c r="K152" s="5">
        <f t="shared" si="26"/>
        <v>12.15</v>
      </c>
      <c r="L152" s="5">
        <f t="shared" si="26"/>
        <v>11.47</v>
      </c>
      <c r="M152" s="5">
        <f t="shared" si="26"/>
        <v>11.38</v>
      </c>
      <c r="N152" s="5">
        <f t="shared" si="26"/>
        <v>10.82</v>
      </c>
      <c r="O152" s="5">
        <f t="shared" si="26"/>
        <v>10.24</v>
      </c>
      <c r="P152" s="5">
        <f t="shared" si="26"/>
        <v>9.55</v>
      </c>
      <c r="Q152" s="5">
        <f t="shared" si="26"/>
        <v>8.21</v>
      </c>
      <c r="R152" s="5">
        <f t="shared" si="26"/>
        <v>6.4</v>
      </c>
      <c r="S152" s="5">
        <f t="shared" si="25"/>
        <v>5.82</v>
      </c>
      <c r="T152" s="5">
        <f t="shared" si="25"/>
        <v>4.57</v>
      </c>
      <c r="U152" s="5">
        <f t="shared" si="25"/>
        <v>3.31</v>
      </c>
      <c r="V152" s="5">
        <f t="shared" si="25"/>
        <v>3.07</v>
      </c>
      <c r="W152" s="5">
        <f t="shared" si="25"/>
        <v>2.37</v>
      </c>
      <c r="X152" s="5">
        <f t="shared" si="25"/>
        <v>2.01</v>
      </c>
      <c r="Y152" s="5">
        <f t="shared" si="25"/>
        <v>1.63</v>
      </c>
      <c r="Z152" s="5">
        <f t="shared" si="25"/>
        <v>1.58</v>
      </c>
      <c r="AA152" s="5">
        <f t="shared" si="25"/>
        <v>1.41</v>
      </c>
      <c r="AB152" s="5">
        <f t="shared" si="25"/>
        <v>1.16</v>
      </c>
      <c r="AC152" s="5">
        <f t="shared" si="25"/>
        <v>0.96</v>
      </c>
      <c r="AD152" s="5">
        <f t="shared" si="25"/>
        <v>0.92</v>
      </c>
      <c r="AE152" s="5">
        <f t="shared" si="25"/>
        <v>0.79</v>
      </c>
      <c r="AF152" s="5">
        <f t="shared" si="25"/>
        <v>0.7</v>
      </c>
      <c r="AG152" s="5">
        <f t="shared" si="25"/>
        <v>0.64</v>
      </c>
      <c r="AH152" s="5">
        <f t="shared" si="27"/>
        <v>0.4</v>
      </c>
      <c r="AI152" s="5">
        <f t="shared" si="27"/>
        <v>0.26</v>
      </c>
      <c r="AJ152" s="5">
        <f t="shared" si="27"/>
        <v>0.2</v>
      </c>
    </row>
    <row r="153" spans="1:36">
      <c r="A153" t="str">
        <f>"casthouse_procurement_archetype_"&amp;TEXT(ROUND(Table21319[[#This Row],[2016]],1),"0.0")</f>
        <v>casthouse_procurement_archetype_15.2</v>
      </c>
      <c r="B153" s="5">
        <f t="shared" si="24"/>
        <v>15.2</v>
      </c>
      <c r="C153" s="5">
        <f t="shared" si="26"/>
        <v>15.2</v>
      </c>
      <c r="D153" s="5">
        <f t="shared" si="26"/>
        <v>15.2</v>
      </c>
      <c r="E153" s="5">
        <f t="shared" si="26"/>
        <v>14.83</v>
      </c>
      <c r="F153" s="5">
        <f t="shared" si="26"/>
        <v>13.94</v>
      </c>
      <c r="G153" s="5">
        <f t="shared" si="26"/>
        <v>14.06</v>
      </c>
      <c r="H153" s="5">
        <f t="shared" si="26"/>
        <v>13.68</v>
      </c>
      <c r="I153" s="5">
        <f t="shared" si="26"/>
        <v>12.93</v>
      </c>
      <c r="J153" s="5">
        <f t="shared" si="26"/>
        <v>12.51</v>
      </c>
      <c r="K153" s="5">
        <f t="shared" si="26"/>
        <v>12.08</v>
      </c>
      <c r="L153" s="5">
        <f t="shared" si="26"/>
        <v>11.39</v>
      </c>
      <c r="M153" s="5">
        <f t="shared" si="26"/>
        <v>11.31</v>
      </c>
      <c r="N153" s="5">
        <f t="shared" si="26"/>
        <v>10.75</v>
      </c>
      <c r="O153" s="5">
        <f t="shared" si="26"/>
        <v>10.17</v>
      </c>
      <c r="P153" s="5">
        <f t="shared" si="26"/>
        <v>9.49</v>
      </c>
      <c r="Q153" s="5">
        <f t="shared" si="26"/>
        <v>8.15</v>
      </c>
      <c r="R153" s="5">
        <f t="shared" si="26"/>
        <v>6.36</v>
      </c>
      <c r="S153" s="5">
        <f t="shared" si="25"/>
        <v>5.79</v>
      </c>
      <c r="T153" s="5">
        <f t="shared" si="25"/>
        <v>4.54</v>
      </c>
      <c r="U153" s="5">
        <f t="shared" si="25"/>
        <v>3.28</v>
      </c>
      <c r="V153" s="5">
        <f t="shared" si="25"/>
        <v>3.05</v>
      </c>
      <c r="W153" s="5">
        <f t="shared" si="25"/>
        <v>2.35</v>
      </c>
      <c r="X153" s="5">
        <f t="shared" si="25"/>
        <v>1.99</v>
      </c>
      <c r="Y153" s="5">
        <f t="shared" si="25"/>
        <v>1.62</v>
      </c>
      <c r="Z153" s="5">
        <f t="shared" si="25"/>
        <v>1.57</v>
      </c>
      <c r="AA153" s="5">
        <f t="shared" si="25"/>
        <v>1.4</v>
      </c>
      <c r="AB153" s="5">
        <f t="shared" si="25"/>
        <v>1.15</v>
      </c>
      <c r="AC153" s="5">
        <f t="shared" si="25"/>
        <v>0.95</v>
      </c>
      <c r="AD153" s="5">
        <f t="shared" si="25"/>
        <v>0.92</v>
      </c>
      <c r="AE153" s="5">
        <f t="shared" si="25"/>
        <v>0.78</v>
      </c>
      <c r="AF153" s="5">
        <f t="shared" si="25"/>
        <v>0.7</v>
      </c>
      <c r="AG153" s="5">
        <f t="shared" si="25"/>
        <v>0.63</v>
      </c>
      <c r="AH153" s="5">
        <f t="shared" si="27"/>
        <v>0.4</v>
      </c>
      <c r="AI153" s="5">
        <f t="shared" si="27"/>
        <v>0.26</v>
      </c>
      <c r="AJ153" s="5">
        <f t="shared" si="27"/>
        <v>0.2</v>
      </c>
    </row>
    <row r="154" spans="1:36">
      <c r="A154" t="str">
        <f>"casthouse_procurement_archetype_"&amp;TEXT(ROUND(Table21319[[#This Row],[2016]],1),"0.0")</f>
        <v>casthouse_procurement_archetype_15.1</v>
      </c>
      <c r="B154" s="5">
        <f t="shared" si="24"/>
        <v>15.1</v>
      </c>
      <c r="C154" s="5">
        <f t="shared" si="26"/>
        <v>15.1</v>
      </c>
      <c r="D154" s="5">
        <f t="shared" si="26"/>
        <v>15.1</v>
      </c>
      <c r="E154" s="5">
        <f t="shared" si="26"/>
        <v>14.73</v>
      </c>
      <c r="F154" s="5">
        <f t="shared" si="26"/>
        <v>13.85</v>
      </c>
      <c r="G154" s="5">
        <f t="shared" si="26"/>
        <v>13.97</v>
      </c>
      <c r="H154" s="5">
        <f t="shared" si="26"/>
        <v>13.59</v>
      </c>
      <c r="I154" s="5">
        <f t="shared" si="26"/>
        <v>12.84</v>
      </c>
      <c r="J154" s="5">
        <f t="shared" si="26"/>
        <v>12.42</v>
      </c>
      <c r="K154" s="5">
        <f t="shared" si="26"/>
        <v>12</v>
      </c>
      <c r="L154" s="5">
        <f t="shared" si="26"/>
        <v>11.32</v>
      </c>
      <c r="M154" s="5">
        <f t="shared" si="26"/>
        <v>11.24</v>
      </c>
      <c r="N154" s="5">
        <f t="shared" si="26"/>
        <v>10.68</v>
      </c>
      <c r="O154" s="5">
        <f t="shared" si="26"/>
        <v>10.11</v>
      </c>
      <c r="P154" s="5">
        <f t="shared" si="26"/>
        <v>9.42</v>
      </c>
      <c r="Q154" s="5">
        <f t="shared" si="26"/>
        <v>8.1</v>
      </c>
      <c r="R154" s="5">
        <f t="shared" si="26"/>
        <v>6.32</v>
      </c>
      <c r="S154" s="5">
        <f t="shared" si="25"/>
        <v>5.75</v>
      </c>
      <c r="T154" s="5">
        <f t="shared" si="25"/>
        <v>4.51</v>
      </c>
      <c r="U154" s="5">
        <f t="shared" si="25"/>
        <v>3.26</v>
      </c>
      <c r="V154" s="5">
        <f t="shared" si="25"/>
        <v>3.03</v>
      </c>
      <c r="W154" s="5">
        <f t="shared" si="25"/>
        <v>2.34</v>
      </c>
      <c r="X154" s="5">
        <f t="shared" si="25"/>
        <v>1.98</v>
      </c>
      <c r="Y154" s="5">
        <f t="shared" si="25"/>
        <v>1.62</v>
      </c>
      <c r="Z154" s="5">
        <f t="shared" si="25"/>
        <v>1.56</v>
      </c>
      <c r="AA154" s="5">
        <f t="shared" si="25"/>
        <v>1.39</v>
      </c>
      <c r="AB154" s="5">
        <f t="shared" si="25"/>
        <v>1.15</v>
      </c>
      <c r="AC154" s="5">
        <f t="shared" si="25"/>
        <v>0.95</v>
      </c>
      <c r="AD154" s="5">
        <f t="shared" si="25"/>
        <v>0.91</v>
      </c>
      <c r="AE154" s="5">
        <f t="shared" si="25"/>
        <v>0.78</v>
      </c>
      <c r="AF154" s="5">
        <f t="shared" si="25"/>
        <v>0.69</v>
      </c>
      <c r="AG154" s="5">
        <f t="shared" si="25"/>
        <v>0.63</v>
      </c>
      <c r="AH154" s="5">
        <f t="shared" si="27"/>
        <v>0.4</v>
      </c>
      <c r="AI154" s="5">
        <f t="shared" si="27"/>
        <v>0.26</v>
      </c>
      <c r="AJ154" s="5">
        <f t="shared" si="27"/>
        <v>0.2</v>
      </c>
    </row>
    <row r="155" spans="1:36">
      <c r="A155" t="str">
        <f>"casthouse_procurement_archetype_"&amp;TEXT(ROUND(Table21319[[#This Row],[2016]],1),"0.0")</f>
        <v>casthouse_procurement_archetype_15.0</v>
      </c>
      <c r="B155" s="5">
        <f t="shared" si="24"/>
        <v>15</v>
      </c>
      <c r="C155" s="5">
        <f t="shared" si="26"/>
        <v>15</v>
      </c>
      <c r="D155" s="5">
        <f t="shared" si="26"/>
        <v>15</v>
      </c>
      <c r="E155" s="5">
        <f t="shared" si="26"/>
        <v>14.64</v>
      </c>
      <c r="F155" s="5">
        <f t="shared" si="26"/>
        <v>13.76</v>
      </c>
      <c r="G155" s="5">
        <f t="shared" si="26"/>
        <v>13.88</v>
      </c>
      <c r="H155" s="5">
        <f t="shared" si="26"/>
        <v>13.5</v>
      </c>
      <c r="I155" s="5">
        <f t="shared" si="26"/>
        <v>12.76</v>
      </c>
      <c r="J155" s="5">
        <f t="shared" si="26"/>
        <v>12.34</v>
      </c>
      <c r="K155" s="5">
        <f t="shared" si="26"/>
        <v>11.92</v>
      </c>
      <c r="L155" s="5">
        <f t="shared" si="26"/>
        <v>11.24</v>
      </c>
      <c r="M155" s="5">
        <f t="shared" si="26"/>
        <v>11.16</v>
      </c>
      <c r="N155" s="5">
        <f t="shared" si="26"/>
        <v>10.61</v>
      </c>
      <c r="O155" s="5">
        <f t="shared" si="26"/>
        <v>10.04</v>
      </c>
      <c r="P155" s="5">
        <f t="shared" si="26"/>
        <v>9.36</v>
      </c>
      <c r="Q155" s="5">
        <f t="shared" si="26"/>
        <v>8.05</v>
      </c>
      <c r="R155" s="5">
        <f t="shared" si="26"/>
        <v>6.28</v>
      </c>
      <c r="S155" s="5">
        <f t="shared" si="25"/>
        <v>5.71</v>
      </c>
      <c r="T155" s="5">
        <f t="shared" si="25"/>
        <v>4.48</v>
      </c>
      <c r="U155" s="5">
        <f t="shared" si="25"/>
        <v>3.24</v>
      </c>
      <c r="V155" s="5">
        <f t="shared" si="25"/>
        <v>3.01</v>
      </c>
      <c r="W155" s="5">
        <f t="shared" si="25"/>
        <v>2.32</v>
      </c>
      <c r="X155" s="5">
        <f t="shared" si="25"/>
        <v>1.97</v>
      </c>
      <c r="Y155" s="5">
        <f t="shared" si="25"/>
        <v>1.61</v>
      </c>
      <c r="Z155" s="5">
        <f t="shared" si="25"/>
        <v>1.55</v>
      </c>
      <c r="AA155" s="5">
        <f t="shared" si="25"/>
        <v>1.38</v>
      </c>
      <c r="AB155" s="5">
        <f t="shared" si="25"/>
        <v>1.14</v>
      </c>
      <c r="AC155" s="5">
        <f t="shared" si="25"/>
        <v>0.94</v>
      </c>
      <c r="AD155" s="5">
        <f t="shared" si="25"/>
        <v>0.91</v>
      </c>
      <c r="AE155" s="5">
        <f t="shared" si="25"/>
        <v>0.77</v>
      </c>
      <c r="AF155" s="5">
        <f t="shared" si="25"/>
        <v>0.69</v>
      </c>
      <c r="AG155" s="5">
        <f t="shared" si="25"/>
        <v>0.63</v>
      </c>
      <c r="AH155" s="5">
        <f t="shared" si="27"/>
        <v>0.39</v>
      </c>
      <c r="AI155" s="5">
        <f t="shared" si="27"/>
        <v>0.26</v>
      </c>
      <c r="AJ155" s="5">
        <f t="shared" si="27"/>
        <v>0.2</v>
      </c>
    </row>
    <row r="156" spans="1:36">
      <c r="A156" t="str">
        <f>"casthouse_procurement_archetype_"&amp;TEXT(ROUND(Table21319[[#This Row],[2016]],1),"0.0")</f>
        <v>casthouse_procurement_archetype_14.9</v>
      </c>
      <c r="B156" s="5">
        <f t="shared" si="24"/>
        <v>14.9</v>
      </c>
      <c r="C156" s="5">
        <f t="shared" si="26"/>
        <v>14.9</v>
      </c>
      <c r="D156" s="5">
        <f t="shared" si="26"/>
        <v>14.9</v>
      </c>
      <c r="E156" s="5">
        <f t="shared" si="26"/>
        <v>14.54</v>
      </c>
      <c r="F156" s="5">
        <f t="shared" si="26"/>
        <v>13.66</v>
      </c>
      <c r="G156" s="5">
        <f t="shared" si="26"/>
        <v>13.79</v>
      </c>
      <c r="H156" s="5">
        <f t="shared" si="26"/>
        <v>13.41</v>
      </c>
      <c r="I156" s="5">
        <f t="shared" si="26"/>
        <v>12.67</v>
      </c>
      <c r="J156" s="5">
        <f t="shared" si="26"/>
        <v>12.26</v>
      </c>
      <c r="K156" s="5">
        <f t="shared" si="26"/>
        <v>11.84</v>
      </c>
      <c r="L156" s="5">
        <f t="shared" si="26"/>
        <v>11.17</v>
      </c>
      <c r="M156" s="5">
        <f t="shared" si="26"/>
        <v>11.09</v>
      </c>
      <c r="N156" s="5">
        <f t="shared" si="26"/>
        <v>10.54</v>
      </c>
      <c r="O156" s="5">
        <f t="shared" si="26"/>
        <v>9.97</v>
      </c>
      <c r="P156" s="5">
        <f t="shared" si="26"/>
        <v>9.3</v>
      </c>
      <c r="Q156" s="5">
        <f t="shared" si="26"/>
        <v>8</v>
      </c>
      <c r="R156" s="5">
        <f t="shared" ref="R156:AG171" si="28">MROUND((($B156-$AJ$2)*((R$2-$AJ$2)/($B$2-$AJ$2)))+$AJ$2,0.01)</f>
        <v>6.23</v>
      </c>
      <c r="S156" s="5">
        <f t="shared" si="28"/>
        <v>5.67</v>
      </c>
      <c r="T156" s="5">
        <f t="shared" si="28"/>
        <v>4.45</v>
      </c>
      <c r="U156" s="5">
        <f t="shared" si="28"/>
        <v>3.22</v>
      </c>
      <c r="V156" s="5">
        <f t="shared" si="28"/>
        <v>3</v>
      </c>
      <c r="W156" s="5">
        <f t="shared" si="28"/>
        <v>2.31</v>
      </c>
      <c r="X156" s="5">
        <f t="shared" si="28"/>
        <v>1.96</v>
      </c>
      <c r="Y156" s="5">
        <f t="shared" si="28"/>
        <v>1.6</v>
      </c>
      <c r="Z156" s="5">
        <f t="shared" si="28"/>
        <v>1.54</v>
      </c>
      <c r="AA156" s="5">
        <f t="shared" si="28"/>
        <v>1.37</v>
      </c>
      <c r="AB156" s="5">
        <f t="shared" si="28"/>
        <v>1.13</v>
      </c>
      <c r="AC156" s="5">
        <f t="shared" si="28"/>
        <v>0.94</v>
      </c>
      <c r="AD156" s="5">
        <f t="shared" si="28"/>
        <v>0.9</v>
      </c>
      <c r="AE156" s="5">
        <f t="shared" si="28"/>
        <v>0.77</v>
      </c>
      <c r="AF156" s="5">
        <f t="shared" si="28"/>
        <v>0.69</v>
      </c>
      <c r="AG156" s="5">
        <f t="shared" si="28"/>
        <v>0.63</v>
      </c>
      <c r="AH156" s="5">
        <f t="shared" si="27"/>
        <v>0.39</v>
      </c>
      <c r="AI156" s="5">
        <f t="shared" si="27"/>
        <v>0.26</v>
      </c>
      <c r="AJ156" s="5">
        <f t="shared" si="27"/>
        <v>0.2</v>
      </c>
    </row>
    <row r="157" spans="1:36">
      <c r="A157" t="str">
        <f>"casthouse_procurement_archetype_"&amp;TEXT(ROUND(Table21319[[#This Row],[2016]],1),"0.0")</f>
        <v>casthouse_procurement_archetype_14.8</v>
      </c>
      <c r="B157" s="5">
        <f t="shared" si="24"/>
        <v>14.8</v>
      </c>
      <c r="C157" s="5">
        <f t="shared" ref="C157:R172" si="29">MROUND((($B157-$AJ$2)*((C$2-$AJ$2)/($B$2-$AJ$2)))+$AJ$2,0.01)</f>
        <v>14.8</v>
      </c>
      <c r="D157" s="5">
        <f t="shared" si="29"/>
        <v>14.8</v>
      </c>
      <c r="E157" s="5">
        <f t="shared" si="29"/>
        <v>14.44</v>
      </c>
      <c r="F157" s="5">
        <f t="shared" si="29"/>
        <v>13.57</v>
      </c>
      <c r="G157" s="5">
        <f t="shared" si="29"/>
        <v>13.69</v>
      </c>
      <c r="H157" s="5">
        <f t="shared" si="29"/>
        <v>13.32</v>
      </c>
      <c r="I157" s="5">
        <f t="shared" si="29"/>
        <v>12.59</v>
      </c>
      <c r="J157" s="5">
        <f t="shared" si="29"/>
        <v>12.18</v>
      </c>
      <c r="K157" s="5">
        <f t="shared" si="29"/>
        <v>11.76</v>
      </c>
      <c r="L157" s="5">
        <f t="shared" si="29"/>
        <v>11.09</v>
      </c>
      <c r="M157" s="5">
        <f t="shared" si="29"/>
        <v>11.01</v>
      </c>
      <c r="N157" s="5">
        <f t="shared" si="29"/>
        <v>10.47</v>
      </c>
      <c r="O157" s="5">
        <f t="shared" si="29"/>
        <v>9.91</v>
      </c>
      <c r="P157" s="5">
        <f t="shared" si="29"/>
        <v>9.24</v>
      </c>
      <c r="Q157" s="5">
        <f t="shared" si="29"/>
        <v>7.94</v>
      </c>
      <c r="R157" s="5">
        <f t="shared" si="29"/>
        <v>6.19</v>
      </c>
      <c r="S157" s="5">
        <f t="shared" si="28"/>
        <v>5.64</v>
      </c>
      <c r="T157" s="5">
        <f t="shared" si="28"/>
        <v>4.42</v>
      </c>
      <c r="U157" s="5">
        <f t="shared" si="28"/>
        <v>3.2</v>
      </c>
      <c r="V157" s="5">
        <f t="shared" si="28"/>
        <v>2.98</v>
      </c>
      <c r="W157" s="5">
        <f t="shared" si="28"/>
        <v>2.29</v>
      </c>
      <c r="X157" s="5">
        <f t="shared" si="28"/>
        <v>1.95</v>
      </c>
      <c r="Y157" s="5">
        <f t="shared" si="28"/>
        <v>1.59</v>
      </c>
      <c r="Z157" s="5">
        <f t="shared" si="28"/>
        <v>1.53</v>
      </c>
      <c r="AA157" s="5">
        <f t="shared" si="28"/>
        <v>1.37</v>
      </c>
      <c r="AB157" s="5">
        <f t="shared" si="28"/>
        <v>1.13</v>
      </c>
      <c r="AC157" s="5">
        <f t="shared" si="28"/>
        <v>0.93</v>
      </c>
      <c r="AD157" s="5">
        <f t="shared" si="28"/>
        <v>0.9</v>
      </c>
      <c r="AE157" s="5">
        <f t="shared" si="28"/>
        <v>0.77</v>
      </c>
      <c r="AF157" s="5">
        <f t="shared" si="28"/>
        <v>0.68</v>
      </c>
      <c r="AG157" s="5">
        <f t="shared" si="28"/>
        <v>0.62</v>
      </c>
      <c r="AH157" s="5">
        <f t="shared" si="27"/>
        <v>0.39</v>
      </c>
      <c r="AI157" s="5">
        <f t="shared" si="27"/>
        <v>0.26</v>
      </c>
      <c r="AJ157" s="5">
        <f t="shared" si="27"/>
        <v>0.2</v>
      </c>
    </row>
    <row r="158" spans="1:36">
      <c r="A158" t="str">
        <f>"casthouse_procurement_archetype_"&amp;TEXT(ROUND(Table21319[[#This Row],[2016]],1),"0.0")</f>
        <v>casthouse_procurement_archetype_14.7</v>
      </c>
      <c r="B158" s="5">
        <f t="shared" si="24"/>
        <v>14.7</v>
      </c>
      <c r="C158" s="5">
        <f t="shared" si="29"/>
        <v>14.7</v>
      </c>
      <c r="D158" s="5">
        <f t="shared" si="29"/>
        <v>14.7</v>
      </c>
      <c r="E158" s="5">
        <f t="shared" si="29"/>
        <v>14.34</v>
      </c>
      <c r="F158" s="5">
        <f t="shared" si="29"/>
        <v>13.48</v>
      </c>
      <c r="G158" s="5">
        <f t="shared" si="29"/>
        <v>13.6</v>
      </c>
      <c r="H158" s="5">
        <f t="shared" si="29"/>
        <v>13.23</v>
      </c>
      <c r="I158" s="5">
        <f t="shared" si="29"/>
        <v>12.5</v>
      </c>
      <c r="J158" s="5">
        <f t="shared" si="29"/>
        <v>12.1</v>
      </c>
      <c r="K158" s="5">
        <f t="shared" si="29"/>
        <v>11.68</v>
      </c>
      <c r="L158" s="5">
        <f t="shared" si="29"/>
        <v>11.02</v>
      </c>
      <c r="M158" s="5">
        <f t="shared" si="29"/>
        <v>10.94</v>
      </c>
      <c r="N158" s="5">
        <f t="shared" si="29"/>
        <v>10.4</v>
      </c>
      <c r="O158" s="5">
        <f t="shared" si="29"/>
        <v>9.84</v>
      </c>
      <c r="P158" s="5">
        <f t="shared" si="29"/>
        <v>9.18</v>
      </c>
      <c r="Q158" s="5">
        <f t="shared" si="29"/>
        <v>7.89</v>
      </c>
      <c r="R158" s="5">
        <f t="shared" si="29"/>
        <v>6.15</v>
      </c>
      <c r="S158" s="5">
        <f t="shared" si="28"/>
        <v>5.6</v>
      </c>
      <c r="T158" s="5">
        <f t="shared" si="28"/>
        <v>4.39</v>
      </c>
      <c r="U158" s="5">
        <f t="shared" si="28"/>
        <v>3.18</v>
      </c>
      <c r="V158" s="5">
        <f t="shared" si="28"/>
        <v>2.96</v>
      </c>
      <c r="W158" s="5">
        <f t="shared" si="28"/>
        <v>2.28</v>
      </c>
      <c r="X158" s="5">
        <f t="shared" si="28"/>
        <v>1.94</v>
      </c>
      <c r="Y158" s="5">
        <f t="shared" si="28"/>
        <v>1.58</v>
      </c>
      <c r="Z158" s="5">
        <f t="shared" si="28"/>
        <v>1.52</v>
      </c>
      <c r="AA158" s="5">
        <f t="shared" si="28"/>
        <v>1.36</v>
      </c>
      <c r="AB158" s="5">
        <f t="shared" si="28"/>
        <v>1.12</v>
      </c>
      <c r="AC158" s="5">
        <f t="shared" si="28"/>
        <v>0.93</v>
      </c>
      <c r="AD158" s="5">
        <f t="shared" si="28"/>
        <v>0.89</v>
      </c>
      <c r="AE158" s="5">
        <f t="shared" si="28"/>
        <v>0.76</v>
      </c>
      <c r="AF158" s="5">
        <f t="shared" si="28"/>
        <v>0.68</v>
      </c>
      <c r="AG158" s="5">
        <f t="shared" si="28"/>
        <v>0.62</v>
      </c>
      <c r="AH158" s="5">
        <f t="shared" si="27"/>
        <v>0.39</v>
      </c>
      <c r="AI158" s="5">
        <f t="shared" si="27"/>
        <v>0.26</v>
      </c>
      <c r="AJ158" s="5">
        <f t="shared" si="27"/>
        <v>0.2</v>
      </c>
    </row>
    <row r="159" spans="1:36">
      <c r="A159" t="str">
        <f>"casthouse_procurement_archetype_"&amp;TEXT(ROUND(Table21319[[#This Row],[2016]],1),"0.0")</f>
        <v>casthouse_procurement_archetype_14.6</v>
      </c>
      <c r="B159" s="5">
        <f t="shared" si="24"/>
        <v>14.6</v>
      </c>
      <c r="C159" s="5">
        <f t="shared" si="29"/>
        <v>14.6</v>
      </c>
      <c r="D159" s="5">
        <f t="shared" si="29"/>
        <v>14.6</v>
      </c>
      <c r="E159" s="5">
        <f t="shared" si="29"/>
        <v>14.25</v>
      </c>
      <c r="F159" s="5">
        <f t="shared" si="29"/>
        <v>13.39</v>
      </c>
      <c r="G159" s="5">
        <f t="shared" si="29"/>
        <v>13.51</v>
      </c>
      <c r="H159" s="5">
        <f t="shared" si="29"/>
        <v>13.14</v>
      </c>
      <c r="I159" s="5">
        <f t="shared" si="29"/>
        <v>12.42</v>
      </c>
      <c r="J159" s="5">
        <f t="shared" si="29"/>
        <v>12.01</v>
      </c>
      <c r="K159" s="5">
        <f t="shared" si="29"/>
        <v>11.6</v>
      </c>
      <c r="L159" s="5">
        <f t="shared" si="29"/>
        <v>10.95</v>
      </c>
      <c r="M159" s="5">
        <f t="shared" si="29"/>
        <v>10.87</v>
      </c>
      <c r="N159" s="5">
        <f t="shared" si="29"/>
        <v>10.33</v>
      </c>
      <c r="O159" s="5">
        <f t="shared" si="29"/>
        <v>9.77</v>
      </c>
      <c r="P159" s="5">
        <f t="shared" si="29"/>
        <v>9.11</v>
      </c>
      <c r="Q159" s="5">
        <f t="shared" si="29"/>
        <v>7.84</v>
      </c>
      <c r="R159" s="5">
        <f t="shared" si="29"/>
        <v>6.11</v>
      </c>
      <c r="S159" s="5">
        <f t="shared" si="28"/>
        <v>5.56</v>
      </c>
      <c r="T159" s="5">
        <f t="shared" si="28"/>
        <v>4.37</v>
      </c>
      <c r="U159" s="5">
        <f t="shared" si="28"/>
        <v>3.16</v>
      </c>
      <c r="V159" s="5">
        <f t="shared" si="28"/>
        <v>2.94</v>
      </c>
      <c r="W159" s="5">
        <f t="shared" si="28"/>
        <v>2.26</v>
      </c>
      <c r="X159" s="5">
        <f t="shared" si="28"/>
        <v>1.92</v>
      </c>
      <c r="Y159" s="5">
        <f t="shared" si="28"/>
        <v>1.57</v>
      </c>
      <c r="Z159" s="5">
        <f t="shared" si="28"/>
        <v>1.51</v>
      </c>
      <c r="AA159" s="5">
        <f t="shared" si="28"/>
        <v>1.35</v>
      </c>
      <c r="AB159" s="5">
        <f t="shared" si="28"/>
        <v>1.11</v>
      </c>
      <c r="AC159" s="5">
        <f t="shared" si="28"/>
        <v>0.92</v>
      </c>
      <c r="AD159" s="5">
        <f t="shared" si="28"/>
        <v>0.89</v>
      </c>
      <c r="AE159" s="5">
        <f t="shared" si="28"/>
        <v>0.76</v>
      </c>
      <c r="AF159" s="5">
        <f t="shared" si="28"/>
        <v>0.68</v>
      </c>
      <c r="AG159" s="5">
        <f t="shared" si="28"/>
        <v>0.62</v>
      </c>
      <c r="AH159" s="5">
        <f t="shared" si="27"/>
        <v>0.39</v>
      </c>
      <c r="AI159" s="5">
        <f t="shared" si="27"/>
        <v>0.26</v>
      </c>
      <c r="AJ159" s="5">
        <f t="shared" si="27"/>
        <v>0.2</v>
      </c>
    </row>
    <row r="160" spans="1:36">
      <c r="A160" t="str">
        <f>"casthouse_procurement_archetype_"&amp;TEXT(ROUND(Table21319[[#This Row],[2016]],1),"0.0")</f>
        <v>casthouse_procurement_archetype_14.5</v>
      </c>
      <c r="B160" s="5">
        <f t="shared" si="24"/>
        <v>14.5</v>
      </c>
      <c r="C160" s="5">
        <f t="shared" si="29"/>
        <v>14.5</v>
      </c>
      <c r="D160" s="5">
        <f t="shared" si="29"/>
        <v>14.5</v>
      </c>
      <c r="E160" s="5">
        <f t="shared" si="29"/>
        <v>14.15</v>
      </c>
      <c r="F160" s="5">
        <f t="shared" si="29"/>
        <v>13.3</v>
      </c>
      <c r="G160" s="5">
        <f t="shared" si="29"/>
        <v>13.42</v>
      </c>
      <c r="H160" s="5">
        <f t="shared" si="29"/>
        <v>13.05</v>
      </c>
      <c r="I160" s="5">
        <f t="shared" si="29"/>
        <v>12.33</v>
      </c>
      <c r="J160" s="5">
        <f t="shared" si="29"/>
        <v>11.93</v>
      </c>
      <c r="K160" s="5">
        <f t="shared" si="29"/>
        <v>11.52</v>
      </c>
      <c r="L160" s="5">
        <f t="shared" si="29"/>
        <v>10.87</v>
      </c>
      <c r="M160" s="5">
        <f t="shared" si="29"/>
        <v>10.79</v>
      </c>
      <c r="N160" s="5">
        <f t="shared" si="29"/>
        <v>10.26</v>
      </c>
      <c r="O160" s="5">
        <f t="shared" si="29"/>
        <v>9.71</v>
      </c>
      <c r="P160" s="5">
        <f t="shared" si="29"/>
        <v>9.05</v>
      </c>
      <c r="Q160" s="5">
        <f t="shared" si="29"/>
        <v>7.78</v>
      </c>
      <c r="R160" s="5">
        <f t="shared" si="29"/>
        <v>6.07</v>
      </c>
      <c r="S160" s="5">
        <f t="shared" si="28"/>
        <v>5.52</v>
      </c>
      <c r="T160" s="5">
        <f t="shared" si="28"/>
        <v>4.34</v>
      </c>
      <c r="U160" s="5">
        <f t="shared" si="28"/>
        <v>3.14</v>
      </c>
      <c r="V160" s="5">
        <f t="shared" si="28"/>
        <v>2.92</v>
      </c>
      <c r="W160" s="5">
        <f t="shared" si="28"/>
        <v>2.25</v>
      </c>
      <c r="X160" s="5">
        <f t="shared" si="28"/>
        <v>1.91</v>
      </c>
      <c r="Y160" s="5">
        <f t="shared" si="28"/>
        <v>1.56</v>
      </c>
      <c r="Z160" s="5">
        <f t="shared" si="28"/>
        <v>1.5</v>
      </c>
      <c r="AA160" s="5">
        <f t="shared" si="28"/>
        <v>1.34</v>
      </c>
      <c r="AB160" s="5">
        <f t="shared" si="28"/>
        <v>1.11</v>
      </c>
      <c r="AC160" s="5">
        <f t="shared" si="28"/>
        <v>0.92</v>
      </c>
      <c r="AD160" s="5">
        <f t="shared" si="28"/>
        <v>0.88</v>
      </c>
      <c r="AE160" s="5">
        <f t="shared" si="28"/>
        <v>0.75</v>
      </c>
      <c r="AF160" s="5">
        <f t="shared" si="28"/>
        <v>0.67</v>
      </c>
      <c r="AG160" s="5">
        <f t="shared" si="28"/>
        <v>0.61</v>
      </c>
      <c r="AH160" s="5">
        <f t="shared" si="27"/>
        <v>0.39</v>
      </c>
      <c r="AI160" s="5">
        <f t="shared" si="27"/>
        <v>0.26</v>
      </c>
      <c r="AJ160" s="5">
        <f t="shared" si="27"/>
        <v>0.2</v>
      </c>
    </row>
    <row r="161" spans="1:36">
      <c r="A161" t="str">
        <f>"casthouse_procurement_archetype_"&amp;TEXT(ROUND(Table21319[[#This Row],[2016]],1),"0.0")</f>
        <v>casthouse_procurement_archetype_14.4</v>
      </c>
      <c r="B161" s="5">
        <f t="shared" si="24"/>
        <v>14.4</v>
      </c>
      <c r="C161" s="5">
        <f t="shared" si="29"/>
        <v>14.4</v>
      </c>
      <c r="D161" s="5">
        <f t="shared" si="29"/>
        <v>14.4</v>
      </c>
      <c r="E161" s="5">
        <f t="shared" si="29"/>
        <v>14.05</v>
      </c>
      <c r="F161" s="5">
        <f t="shared" si="29"/>
        <v>13.21</v>
      </c>
      <c r="G161" s="5">
        <f t="shared" si="29"/>
        <v>13.32</v>
      </c>
      <c r="H161" s="5">
        <f t="shared" si="29"/>
        <v>12.96</v>
      </c>
      <c r="I161" s="5">
        <f t="shared" si="29"/>
        <v>12.25</v>
      </c>
      <c r="J161" s="5">
        <f t="shared" si="29"/>
        <v>11.85</v>
      </c>
      <c r="K161" s="5">
        <f t="shared" si="29"/>
        <v>11.44</v>
      </c>
      <c r="L161" s="5">
        <f t="shared" si="29"/>
        <v>10.8</v>
      </c>
      <c r="M161" s="5">
        <f t="shared" si="29"/>
        <v>10.72</v>
      </c>
      <c r="N161" s="5">
        <f t="shared" si="29"/>
        <v>10.19</v>
      </c>
      <c r="O161" s="5">
        <f t="shared" si="29"/>
        <v>9.64</v>
      </c>
      <c r="P161" s="5">
        <f t="shared" si="29"/>
        <v>8.99</v>
      </c>
      <c r="Q161" s="5">
        <f t="shared" si="29"/>
        <v>7.73</v>
      </c>
      <c r="R161" s="5">
        <f t="shared" si="29"/>
        <v>6.03</v>
      </c>
      <c r="S161" s="5">
        <f t="shared" si="28"/>
        <v>5.49</v>
      </c>
      <c r="T161" s="5">
        <f t="shared" si="28"/>
        <v>4.31</v>
      </c>
      <c r="U161" s="5">
        <f t="shared" si="28"/>
        <v>3.12</v>
      </c>
      <c r="V161" s="5">
        <f t="shared" si="28"/>
        <v>2.9</v>
      </c>
      <c r="W161" s="5">
        <f t="shared" si="28"/>
        <v>2.24</v>
      </c>
      <c r="X161" s="5">
        <f t="shared" si="28"/>
        <v>1.9</v>
      </c>
      <c r="Y161" s="5">
        <f t="shared" si="28"/>
        <v>1.55</v>
      </c>
      <c r="Z161" s="5">
        <f t="shared" si="28"/>
        <v>1.49</v>
      </c>
      <c r="AA161" s="5">
        <f t="shared" si="28"/>
        <v>1.33</v>
      </c>
      <c r="AB161" s="5">
        <f t="shared" si="28"/>
        <v>1.1</v>
      </c>
      <c r="AC161" s="5">
        <f t="shared" si="28"/>
        <v>0.91</v>
      </c>
      <c r="AD161" s="5">
        <f t="shared" si="28"/>
        <v>0.88</v>
      </c>
      <c r="AE161" s="5">
        <f t="shared" si="28"/>
        <v>0.75</v>
      </c>
      <c r="AF161" s="5">
        <f t="shared" si="28"/>
        <v>0.67</v>
      </c>
      <c r="AG161" s="5">
        <f t="shared" si="28"/>
        <v>0.61</v>
      </c>
      <c r="AH161" s="5">
        <f t="shared" si="27"/>
        <v>0.39</v>
      </c>
      <c r="AI161" s="5">
        <f t="shared" si="27"/>
        <v>0.26</v>
      </c>
      <c r="AJ161" s="5">
        <f t="shared" si="27"/>
        <v>0.2</v>
      </c>
    </row>
    <row r="162" spans="1:36">
      <c r="A162" t="str">
        <f>"casthouse_procurement_archetype_"&amp;TEXT(ROUND(Table21319[[#This Row],[2016]],1),"0.0")</f>
        <v>casthouse_procurement_archetype_14.3</v>
      </c>
      <c r="B162" s="5">
        <f t="shared" si="24"/>
        <v>14.3</v>
      </c>
      <c r="C162" s="5">
        <f t="shared" si="29"/>
        <v>14.3</v>
      </c>
      <c r="D162" s="5">
        <f t="shared" si="29"/>
        <v>14.3</v>
      </c>
      <c r="E162" s="5">
        <f t="shared" si="29"/>
        <v>13.95</v>
      </c>
      <c r="F162" s="5">
        <f t="shared" si="29"/>
        <v>13.11</v>
      </c>
      <c r="G162" s="5">
        <f t="shared" si="29"/>
        <v>13.23</v>
      </c>
      <c r="H162" s="5">
        <f t="shared" si="29"/>
        <v>12.87</v>
      </c>
      <c r="I162" s="5">
        <f t="shared" si="29"/>
        <v>12.16</v>
      </c>
      <c r="J162" s="5">
        <f t="shared" si="29"/>
        <v>11.77</v>
      </c>
      <c r="K162" s="5">
        <f t="shared" si="29"/>
        <v>11.36</v>
      </c>
      <c r="L162" s="5">
        <f t="shared" si="29"/>
        <v>10.72</v>
      </c>
      <c r="M162" s="5">
        <f t="shared" si="29"/>
        <v>10.64</v>
      </c>
      <c r="N162" s="5">
        <f t="shared" si="29"/>
        <v>10.12</v>
      </c>
      <c r="O162" s="5">
        <f t="shared" si="29"/>
        <v>9.57</v>
      </c>
      <c r="P162" s="5">
        <f t="shared" si="29"/>
        <v>8.93</v>
      </c>
      <c r="Q162" s="5">
        <f t="shared" si="29"/>
        <v>7.68</v>
      </c>
      <c r="R162" s="5">
        <f t="shared" si="29"/>
        <v>5.99</v>
      </c>
      <c r="S162" s="5">
        <f t="shared" si="28"/>
        <v>5.45</v>
      </c>
      <c r="T162" s="5">
        <f t="shared" si="28"/>
        <v>4.28</v>
      </c>
      <c r="U162" s="5">
        <f t="shared" si="28"/>
        <v>3.1</v>
      </c>
      <c r="V162" s="5">
        <f t="shared" si="28"/>
        <v>2.88</v>
      </c>
      <c r="W162" s="5">
        <f t="shared" si="28"/>
        <v>2.22</v>
      </c>
      <c r="X162" s="5">
        <f t="shared" si="28"/>
        <v>1.89</v>
      </c>
      <c r="Y162" s="5">
        <f t="shared" si="28"/>
        <v>1.54</v>
      </c>
      <c r="Z162" s="5">
        <f t="shared" si="28"/>
        <v>1.48</v>
      </c>
      <c r="AA162" s="5">
        <f t="shared" si="28"/>
        <v>1.33</v>
      </c>
      <c r="AB162" s="5">
        <f t="shared" si="28"/>
        <v>1.1</v>
      </c>
      <c r="AC162" s="5">
        <f t="shared" si="28"/>
        <v>0.91</v>
      </c>
      <c r="AD162" s="5">
        <f t="shared" si="28"/>
        <v>0.87</v>
      </c>
      <c r="AE162" s="5">
        <f t="shared" si="28"/>
        <v>0.75</v>
      </c>
      <c r="AF162" s="5">
        <f t="shared" si="28"/>
        <v>0.67</v>
      </c>
      <c r="AG162" s="5">
        <f t="shared" si="28"/>
        <v>0.61</v>
      </c>
      <c r="AH162" s="5">
        <f t="shared" si="27"/>
        <v>0.39</v>
      </c>
      <c r="AI162" s="5">
        <f t="shared" si="27"/>
        <v>0.26</v>
      </c>
      <c r="AJ162" s="5">
        <f t="shared" si="27"/>
        <v>0.2</v>
      </c>
    </row>
    <row r="163" spans="1:36">
      <c r="A163" t="str">
        <f>"casthouse_procurement_archetype_"&amp;TEXT(ROUND(Table21319[[#This Row],[2016]],1),"0.0")</f>
        <v>casthouse_procurement_archetype_14.2</v>
      </c>
      <c r="B163" s="5">
        <f t="shared" si="24"/>
        <v>14.2</v>
      </c>
      <c r="C163" s="5">
        <f t="shared" si="29"/>
        <v>14.2</v>
      </c>
      <c r="D163" s="5">
        <f t="shared" si="29"/>
        <v>14.2</v>
      </c>
      <c r="E163" s="5">
        <f t="shared" si="29"/>
        <v>13.86</v>
      </c>
      <c r="F163" s="5">
        <f t="shared" si="29"/>
        <v>13.02</v>
      </c>
      <c r="G163" s="5">
        <f t="shared" si="29"/>
        <v>13.14</v>
      </c>
      <c r="H163" s="5">
        <f t="shared" si="29"/>
        <v>12.78</v>
      </c>
      <c r="I163" s="5">
        <f t="shared" si="29"/>
        <v>12.08</v>
      </c>
      <c r="J163" s="5">
        <f t="shared" si="29"/>
        <v>11.69</v>
      </c>
      <c r="K163" s="5">
        <f t="shared" si="29"/>
        <v>11.28</v>
      </c>
      <c r="L163" s="5">
        <f t="shared" si="29"/>
        <v>10.65</v>
      </c>
      <c r="M163" s="5">
        <f t="shared" si="29"/>
        <v>10.57</v>
      </c>
      <c r="N163" s="5">
        <f t="shared" si="29"/>
        <v>10.05</v>
      </c>
      <c r="O163" s="5">
        <f t="shared" si="29"/>
        <v>9.51</v>
      </c>
      <c r="P163" s="5">
        <f t="shared" si="29"/>
        <v>8.87</v>
      </c>
      <c r="Q163" s="5">
        <f t="shared" si="29"/>
        <v>7.62</v>
      </c>
      <c r="R163" s="5">
        <f t="shared" si="29"/>
        <v>5.95</v>
      </c>
      <c r="S163" s="5">
        <f t="shared" si="28"/>
        <v>5.41</v>
      </c>
      <c r="T163" s="5">
        <f t="shared" si="28"/>
        <v>4.25</v>
      </c>
      <c r="U163" s="5">
        <f t="shared" si="28"/>
        <v>3.08</v>
      </c>
      <c r="V163" s="5">
        <f t="shared" si="28"/>
        <v>2.86</v>
      </c>
      <c r="W163" s="5">
        <f t="shared" si="28"/>
        <v>2.21</v>
      </c>
      <c r="X163" s="5">
        <f t="shared" si="28"/>
        <v>1.88</v>
      </c>
      <c r="Y163" s="5">
        <f t="shared" si="28"/>
        <v>1.53</v>
      </c>
      <c r="Z163" s="5">
        <f t="shared" si="28"/>
        <v>1.48</v>
      </c>
      <c r="AA163" s="5">
        <f t="shared" si="28"/>
        <v>1.32</v>
      </c>
      <c r="AB163" s="5">
        <f t="shared" si="28"/>
        <v>1.09</v>
      </c>
      <c r="AC163" s="5">
        <f t="shared" si="28"/>
        <v>0.9</v>
      </c>
      <c r="AD163" s="5">
        <f t="shared" si="28"/>
        <v>0.87</v>
      </c>
      <c r="AE163" s="5">
        <f t="shared" si="28"/>
        <v>0.74</v>
      </c>
      <c r="AF163" s="5">
        <f t="shared" si="28"/>
        <v>0.66</v>
      </c>
      <c r="AG163" s="5">
        <f t="shared" si="28"/>
        <v>0.61</v>
      </c>
      <c r="AH163" s="5">
        <f t="shared" si="27"/>
        <v>0.38</v>
      </c>
      <c r="AI163" s="5">
        <f t="shared" si="27"/>
        <v>0.26</v>
      </c>
      <c r="AJ163" s="5">
        <f t="shared" si="27"/>
        <v>0.2</v>
      </c>
    </row>
    <row r="164" spans="1:36">
      <c r="A164" t="str">
        <f>"casthouse_procurement_archetype_"&amp;TEXT(ROUND(Table21319[[#This Row],[2016]],1),"0.0")</f>
        <v>casthouse_procurement_archetype_14.1</v>
      </c>
      <c r="B164" s="5">
        <f t="shared" si="24"/>
        <v>14.1</v>
      </c>
      <c r="C164" s="5">
        <f t="shared" si="29"/>
        <v>14.1</v>
      </c>
      <c r="D164" s="5">
        <f t="shared" si="29"/>
        <v>14.1</v>
      </c>
      <c r="E164" s="5">
        <f t="shared" si="29"/>
        <v>13.76</v>
      </c>
      <c r="F164" s="5">
        <f t="shared" si="29"/>
        <v>12.93</v>
      </c>
      <c r="G164" s="5">
        <f t="shared" si="29"/>
        <v>13.05</v>
      </c>
      <c r="H164" s="5">
        <f t="shared" si="29"/>
        <v>12.69</v>
      </c>
      <c r="I164" s="5">
        <f t="shared" si="29"/>
        <v>11.99</v>
      </c>
      <c r="J164" s="5">
        <f t="shared" si="29"/>
        <v>11.6</v>
      </c>
      <c r="K164" s="5">
        <f t="shared" si="29"/>
        <v>11.2</v>
      </c>
      <c r="L164" s="5">
        <f t="shared" si="29"/>
        <v>10.57</v>
      </c>
      <c r="M164" s="5">
        <f t="shared" si="29"/>
        <v>10.5</v>
      </c>
      <c r="N164" s="5">
        <f t="shared" si="29"/>
        <v>9.98</v>
      </c>
      <c r="O164" s="5">
        <f t="shared" si="29"/>
        <v>9.44</v>
      </c>
      <c r="P164" s="5">
        <f t="shared" si="29"/>
        <v>8.81</v>
      </c>
      <c r="Q164" s="5">
        <f t="shared" si="29"/>
        <v>7.57</v>
      </c>
      <c r="R164" s="5">
        <f t="shared" si="29"/>
        <v>5.91</v>
      </c>
      <c r="S164" s="5">
        <f t="shared" si="28"/>
        <v>5.38</v>
      </c>
      <c r="T164" s="5">
        <f t="shared" si="28"/>
        <v>4.22</v>
      </c>
      <c r="U164" s="5">
        <f t="shared" si="28"/>
        <v>3.06</v>
      </c>
      <c r="V164" s="5">
        <f t="shared" si="28"/>
        <v>2.84</v>
      </c>
      <c r="W164" s="5">
        <f t="shared" si="28"/>
        <v>2.19</v>
      </c>
      <c r="X164" s="5">
        <f t="shared" si="28"/>
        <v>1.86</v>
      </c>
      <c r="Y164" s="5">
        <f t="shared" si="28"/>
        <v>1.52</v>
      </c>
      <c r="Z164" s="5">
        <f t="shared" si="28"/>
        <v>1.47</v>
      </c>
      <c r="AA164" s="5">
        <f t="shared" si="28"/>
        <v>1.31</v>
      </c>
      <c r="AB164" s="5">
        <f t="shared" si="28"/>
        <v>1.08</v>
      </c>
      <c r="AC164" s="5">
        <f t="shared" si="28"/>
        <v>0.9</v>
      </c>
      <c r="AD164" s="5">
        <f t="shared" si="28"/>
        <v>0.86</v>
      </c>
      <c r="AE164" s="5">
        <f t="shared" si="28"/>
        <v>0.74</v>
      </c>
      <c r="AF164" s="5">
        <f t="shared" si="28"/>
        <v>0.66</v>
      </c>
      <c r="AG164" s="5">
        <f t="shared" si="28"/>
        <v>0.6</v>
      </c>
      <c r="AH164" s="5">
        <f t="shared" si="27"/>
        <v>0.38</v>
      </c>
      <c r="AI164" s="5">
        <f t="shared" si="27"/>
        <v>0.26</v>
      </c>
      <c r="AJ164" s="5">
        <f t="shared" si="27"/>
        <v>0.2</v>
      </c>
    </row>
    <row r="165" spans="1:36">
      <c r="A165" t="str">
        <f>"casthouse_procurement_archetype_"&amp;TEXT(ROUND(Table21319[[#This Row],[2016]],1),"0.0")</f>
        <v>casthouse_procurement_archetype_14.0</v>
      </c>
      <c r="B165" s="5">
        <f t="shared" si="24"/>
        <v>14</v>
      </c>
      <c r="C165" s="5">
        <f t="shared" si="29"/>
        <v>14</v>
      </c>
      <c r="D165" s="5">
        <f t="shared" si="29"/>
        <v>14</v>
      </c>
      <c r="E165" s="5">
        <f t="shared" si="29"/>
        <v>13.66</v>
      </c>
      <c r="F165" s="5">
        <f t="shared" si="29"/>
        <v>12.84</v>
      </c>
      <c r="G165" s="5">
        <f t="shared" si="29"/>
        <v>12.95</v>
      </c>
      <c r="H165" s="5">
        <f t="shared" si="29"/>
        <v>12.6</v>
      </c>
      <c r="I165" s="5">
        <f t="shared" si="29"/>
        <v>11.91</v>
      </c>
      <c r="J165" s="5">
        <f t="shared" si="29"/>
        <v>11.52</v>
      </c>
      <c r="K165" s="5">
        <f t="shared" si="29"/>
        <v>11.13</v>
      </c>
      <c r="L165" s="5">
        <f t="shared" si="29"/>
        <v>10.5</v>
      </c>
      <c r="M165" s="5">
        <f t="shared" si="29"/>
        <v>10.42</v>
      </c>
      <c r="N165" s="5">
        <f t="shared" si="29"/>
        <v>9.91</v>
      </c>
      <c r="O165" s="5">
        <f t="shared" si="29"/>
        <v>9.37</v>
      </c>
      <c r="P165" s="5">
        <f t="shared" si="29"/>
        <v>8.74</v>
      </c>
      <c r="Q165" s="5">
        <f t="shared" si="29"/>
        <v>7.52</v>
      </c>
      <c r="R165" s="5">
        <f t="shared" si="29"/>
        <v>5.87</v>
      </c>
      <c r="S165" s="5">
        <f t="shared" si="28"/>
        <v>5.34</v>
      </c>
      <c r="T165" s="5">
        <f t="shared" si="28"/>
        <v>4.19</v>
      </c>
      <c r="U165" s="5">
        <f t="shared" si="28"/>
        <v>3.04</v>
      </c>
      <c r="V165" s="5">
        <f t="shared" si="28"/>
        <v>2.82</v>
      </c>
      <c r="W165" s="5">
        <f t="shared" si="28"/>
        <v>2.18</v>
      </c>
      <c r="X165" s="5">
        <f t="shared" si="28"/>
        <v>1.85</v>
      </c>
      <c r="Y165" s="5">
        <f t="shared" si="28"/>
        <v>1.51</v>
      </c>
      <c r="Z165" s="5">
        <f t="shared" si="28"/>
        <v>1.46</v>
      </c>
      <c r="AA165" s="5">
        <f t="shared" si="28"/>
        <v>1.3</v>
      </c>
      <c r="AB165" s="5">
        <f t="shared" si="28"/>
        <v>1.08</v>
      </c>
      <c r="AC165" s="5">
        <f t="shared" si="28"/>
        <v>0.89</v>
      </c>
      <c r="AD165" s="5">
        <f t="shared" si="28"/>
        <v>0.86</v>
      </c>
      <c r="AE165" s="5">
        <f t="shared" si="28"/>
        <v>0.74</v>
      </c>
      <c r="AF165" s="5">
        <f t="shared" si="28"/>
        <v>0.66</v>
      </c>
      <c r="AG165" s="5">
        <f t="shared" si="28"/>
        <v>0.6</v>
      </c>
      <c r="AH165" s="5">
        <f t="shared" si="27"/>
        <v>0.38</v>
      </c>
      <c r="AI165" s="5">
        <f t="shared" si="27"/>
        <v>0.26</v>
      </c>
      <c r="AJ165" s="5">
        <f t="shared" si="27"/>
        <v>0.2</v>
      </c>
    </row>
    <row r="166" spans="1:36">
      <c r="A166" t="str">
        <f>"casthouse_procurement_archetype_"&amp;TEXT(ROUND(Table21319[[#This Row],[2016]],1),"0.0")</f>
        <v>casthouse_procurement_archetype_13.9</v>
      </c>
      <c r="B166" s="5">
        <f t="shared" si="24"/>
        <v>13.9</v>
      </c>
      <c r="C166" s="5">
        <f t="shared" si="29"/>
        <v>13.9</v>
      </c>
      <c r="D166" s="5">
        <f t="shared" si="29"/>
        <v>13.9</v>
      </c>
      <c r="E166" s="5">
        <f t="shared" si="29"/>
        <v>13.56</v>
      </c>
      <c r="F166" s="5">
        <f t="shared" si="29"/>
        <v>12.75</v>
      </c>
      <c r="G166" s="5">
        <f t="shared" si="29"/>
        <v>12.86</v>
      </c>
      <c r="H166" s="5">
        <f t="shared" si="29"/>
        <v>12.51</v>
      </c>
      <c r="I166" s="5">
        <f t="shared" si="29"/>
        <v>11.82</v>
      </c>
      <c r="J166" s="5">
        <f t="shared" si="29"/>
        <v>11.44</v>
      </c>
      <c r="K166" s="5">
        <f t="shared" si="29"/>
        <v>11.05</v>
      </c>
      <c r="L166" s="5">
        <f t="shared" si="29"/>
        <v>10.42</v>
      </c>
      <c r="M166" s="5">
        <f t="shared" si="29"/>
        <v>10.35</v>
      </c>
      <c r="N166" s="5">
        <f t="shared" si="29"/>
        <v>9.84</v>
      </c>
      <c r="O166" s="5">
        <f t="shared" si="29"/>
        <v>9.31</v>
      </c>
      <c r="P166" s="5">
        <f t="shared" si="29"/>
        <v>8.68</v>
      </c>
      <c r="Q166" s="5">
        <f t="shared" si="29"/>
        <v>7.47</v>
      </c>
      <c r="R166" s="5">
        <f t="shared" si="29"/>
        <v>5.82</v>
      </c>
      <c r="S166" s="5">
        <f t="shared" si="28"/>
        <v>5.3</v>
      </c>
      <c r="T166" s="5">
        <f t="shared" si="28"/>
        <v>4.16</v>
      </c>
      <c r="U166" s="5">
        <f t="shared" si="28"/>
        <v>3.02</v>
      </c>
      <c r="V166" s="5">
        <f t="shared" si="28"/>
        <v>2.8</v>
      </c>
      <c r="W166" s="5">
        <f t="shared" si="28"/>
        <v>2.16</v>
      </c>
      <c r="X166" s="5">
        <f t="shared" si="28"/>
        <v>1.84</v>
      </c>
      <c r="Y166" s="5">
        <f t="shared" si="28"/>
        <v>1.5</v>
      </c>
      <c r="Z166" s="5">
        <f t="shared" si="28"/>
        <v>1.45</v>
      </c>
      <c r="AA166" s="5">
        <f t="shared" si="28"/>
        <v>1.29</v>
      </c>
      <c r="AB166" s="5">
        <f t="shared" si="28"/>
        <v>1.07</v>
      </c>
      <c r="AC166" s="5">
        <f t="shared" si="28"/>
        <v>0.89</v>
      </c>
      <c r="AD166" s="5">
        <f t="shared" si="28"/>
        <v>0.86</v>
      </c>
      <c r="AE166" s="5">
        <f t="shared" si="28"/>
        <v>0.73</v>
      </c>
      <c r="AF166" s="5">
        <f t="shared" si="28"/>
        <v>0.65</v>
      </c>
      <c r="AG166" s="5">
        <f t="shared" si="28"/>
        <v>0.6</v>
      </c>
      <c r="AH166" s="5">
        <f t="shared" si="27"/>
        <v>0.38</v>
      </c>
      <c r="AI166" s="5">
        <f t="shared" si="27"/>
        <v>0.26</v>
      </c>
      <c r="AJ166" s="5">
        <f t="shared" si="27"/>
        <v>0.2</v>
      </c>
    </row>
    <row r="167" spans="1:36">
      <c r="A167" t="str">
        <f>"casthouse_procurement_archetype_"&amp;TEXT(ROUND(Table21319[[#This Row],[2016]],1),"0.0")</f>
        <v>casthouse_procurement_archetype_13.8</v>
      </c>
      <c r="B167" s="5">
        <f t="shared" si="24"/>
        <v>13.8</v>
      </c>
      <c r="C167" s="5">
        <f t="shared" si="29"/>
        <v>13.8</v>
      </c>
      <c r="D167" s="5">
        <f t="shared" si="29"/>
        <v>13.8</v>
      </c>
      <c r="E167" s="5">
        <f t="shared" si="29"/>
        <v>13.47</v>
      </c>
      <c r="F167" s="5">
        <f t="shared" si="29"/>
        <v>12.66</v>
      </c>
      <c r="G167" s="5">
        <f t="shared" si="29"/>
        <v>12.77</v>
      </c>
      <c r="H167" s="5">
        <f t="shared" si="29"/>
        <v>12.42</v>
      </c>
      <c r="I167" s="5">
        <f t="shared" si="29"/>
        <v>11.74</v>
      </c>
      <c r="J167" s="5">
        <f t="shared" si="29"/>
        <v>11.36</v>
      </c>
      <c r="K167" s="5">
        <f t="shared" si="29"/>
        <v>10.97</v>
      </c>
      <c r="L167" s="5">
        <f t="shared" si="29"/>
        <v>10.35</v>
      </c>
      <c r="M167" s="5">
        <f t="shared" si="29"/>
        <v>10.27</v>
      </c>
      <c r="N167" s="5">
        <f t="shared" si="29"/>
        <v>9.77</v>
      </c>
      <c r="O167" s="5">
        <f t="shared" si="29"/>
        <v>9.24</v>
      </c>
      <c r="P167" s="5">
        <f t="shared" si="29"/>
        <v>8.62</v>
      </c>
      <c r="Q167" s="5">
        <f t="shared" si="29"/>
        <v>7.41</v>
      </c>
      <c r="R167" s="5">
        <f t="shared" si="29"/>
        <v>5.78</v>
      </c>
      <c r="S167" s="5">
        <f t="shared" si="28"/>
        <v>5.26</v>
      </c>
      <c r="T167" s="5">
        <f t="shared" si="28"/>
        <v>4.13</v>
      </c>
      <c r="U167" s="5">
        <f t="shared" si="28"/>
        <v>3</v>
      </c>
      <c r="V167" s="5">
        <f t="shared" si="28"/>
        <v>2.79</v>
      </c>
      <c r="W167" s="5">
        <f t="shared" si="28"/>
        <v>2.15</v>
      </c>
      <c r="X167" s="5">
        <f t="shared" si="28"/>
        <v>1.83</v>
      </c>
      <c r="Y167" s="5">
        <f t="shared" si="28"/>
        <v>1.49</v>
      </c>
      <c r="Z167" s="5">
        <f t="shared" si="28"/>
        <v>1.44</v>
      </c>
      <c r="AA167" s="5">
        <f t="shared" si="28"/>
        <v>1.29</v>
      </c>
      <c r="AB167" s="5">
        <f t="shared" si="28"/>
        <v>1.06</v>
      </c>
      <c r="AC167" s="5">
        <f t="shared" si="28"/>
        <v>0.88</v>
      </c>
      <c r="AD167" s="5">
        <f t="shared" si="28"/>
        <v>0.85</v>
      </c>
      <c r="AE167" s="5">
        <f t="shared" si="28"/>
        <v>0.73</v>
      </c>
      <c r="AF167" s="5">
        <f t="shared" si="28"/>
        <v>0.65</v>
      </c>
      <c r="AG167" s="5">
        <f t="shared" si="28"/>
        <v>0.59</v>
      </c>
      <c r="AH167" s="5">
        <f t="shared" si="27"/>
        <v>0.38</v>
      </c>
      <c r="AI167" s="5">
        <f t="shared" si="27"/>
        <v>0.26</v>
      </c>
      <c r="AJ167" s="5">
        <f t="shared" si="27"/>
        <v>0.2</v>
      </c>
    </row>
    <row r="168" spans="1:36">
      <c r="A168" t="str">
        <f>"casthouse_procurement_archetype_"&amp;TEXT(ROUND(Table21319[[#This Row],[2016]],1),"0.0")</f>
        <v>casthouse_procurement_archetype_13.7</v>
      </c>
      <c r="B168" s="5">
        <f t="shared" si="24"/>
        <v>13.7</v>
      </c>
      <c r="C168" s="5">
        <f t="shared" si="29"/>
        <v>13.7</v>
      </c>
      <c r="D168" s="5">
        <f t="shared" si="29"/>
        <v>13.7</v>
      </c>
      <c r="E168" s="5">
        <f t="shared" si="29"/>
        <v>13.37</v>
      </c>
      <c r="F168" s="5">
        <f t="shared" si="29"/>
        <v>12.57</v>
      </c>
      <c r="G168" s="5">
        <f t="shared" si="29"/>
        <v>12.68</v>
      </c>
      <c r="H168" s="5">
        <f t="shared" si="29"/>
        <v>12.33</v>
      </c>
      <c r="I168" s="5">
        <f t="shared" si="29"/>
        <v>11.65</v>
      </c>
      <c r="J168" s="5">
        <f t="shared" si="29"/>
        <v>11.28</v>
      </c>
      <c r="K168" s="5">
        <f t="shared" si="29"/>
        <v>10.89</v>
      </c>
      <c r="L168" s="5">
        <f t="shared" si="29"/>
        <v>10.27</v>
      </c>
      <c r="M168" s="5">
        <f t="shared" si="29"/>
        <v>10.2</v>
      </c>
      <c r="N168" s="5">
        <f t="shared" si="29"/>
        <v>9.7</v>
      </c>
      <c r="O168" s="5">
        <f t="shared" si="29"/>
        <v>9.17</v>
      </c>
      <c r="P168" s="5">
        <f t="shared" si="29"/>
        <v>8.56</v>
      </c>
      <c r="Q168" s="5">
        <f t="shared" si="29"/>
        <v>7.36</v>
      </c>
      <c r="R168" s="5">
        <f t="shared" si="29"/>
        <v>5.74</v>
      </c>
      <c r="S168" s="5">
        <f t="shared" si="28"/>
        <v>5.23</v>
      </c>
      <c r="T168" s="5">
        <f t="shared" si="28"/>
        <v>4.11</v>
      </c>
      <c r="U168" s="5">
        <f t="shared" si="28"/>
        <v>2.98</v>
      </c>
      <c r="V168" s="5">
        <f t="shared" si="28"/>
        <v>2.77</v>
      </c>
      <c r="W168" s="5">
        <f t="shared" si="28"/>
        <v>2.14</v>
      </c>
      <c r="X168" s="5">
        <f t="shared" si="28"/>
        <v>1.82</v>
      </c>
      <c r="Y168" s="5">
        <f t="shared" si="28"/>
        <v>1.48</v>
      </c>
      <c r="Z168" s="5">
        <f t="shared" si="28"/>
        <v>1.43</v>
      </c>
      <c r="AA168" s="5">
        <f t="shared" si="28"/>
        <v>1.28</v>
      </c>
      <c r="AB168" s="5">
        <f t="shared" si="28"/>
        <v>1.06</v>
      </c>
      <c r="AC168" s="5">
        <f t="shared" si="28"/>
        <v>0.88</v>
      </c>
      <c r="AD168" s="5">
        <f t="shared" si="28"/>
        <v>0.85</v>
      </c>
      <c r="AE168" s="5">
        <f t="shared" si="28"/>
        <v>0.72</v>
      </c>
      <c r="AF168" s="5">
        <f t="shared" si="28"/>
        <v>0.65</v>
      </c>
      <c r="AG168" s="5">
        <f t="shared" si="28"/>
        <v>0.59</v>
      </c>
      <c r="AH168" s="5">
        <f t="shared" si="27"/>
        <v>0.38</v>
      </c>
      <c r="AI168" s="5">
        <f t="shared" si="27"/>
        <v>0.26</v>
      </c>
      <c r="AJ168" s="5">
        <f t="shared" si="27"/>
        <v>0.2</v>
      </c>
    </row>
    <row r="169" spans="1:36">
      <c r="A169" t="str">
        <f>"casthouse_procurement_archetype_"&amp;TEXT(ROUND(Table21319[[#This Row],[2016]],1),"0.0")</f>
        <v>casthouse_procurement_archetype_13.6</v>
      </c>
      <c r="B169" s="5">
        <f t="shared" si="24"/>
        <v>13.6</v>
      </c>
      <c r="C169" s="5">
        <f t="shared" si="29"/>
        <v>13.6</v>
      </c>
      <c r="D169" s="5">
        <f t="shared" si="29"/>
        <v>13.6</v>
      </c>
      <c r="E169" s="5">
        <f t="shared" si="29"/>
        <v>13.27</v>
      </c>
      <c r="F169" s="5">
        <f t="shared" si="29"/>
        <v>12.47</v>
      </c>
      <c r="G169" s="5">
        <f t="shared" si="29"/>
        <v>12.58</v>
      </c>
      <c r="H169" s="5">
        <f t="shared" si="29"/>
        <v>12.24</v>
      </c>
      <c r="I169" s="5">
        <f t="shared" si="29"/>
        <v>11.57</v>
      </c>
      <c r="J169" s="5">
        <f t="shared" si="29"/>
        <v>11.19</v>
      </c>
      <c r="K169" s="5">
        <f t="shared" si="29"/>
        <v>10.81</v>
      </c>
      <c r="L169" s="5">
        <f t="shared" si="29"/>
        <v>10.2</v>
      </c>
      <c r="M169" s="5">
        <f t="shared" si="29"/>
        <v>10.13</v>
      </c>
      <c r="N169" s="5">
        <f t="shared" si="29"/>
        <v>9.63</v>
      </c>
      <c r="O169" s="5">
        <f t="shared" si="29"/>
        <v>9.11</v>
      </c>
      <c r="P169" s="5">
        <f t="shared" si="29"/>
        <v>8.5</v>
      </c>
      <c r="Q169" s="5">
        <f t="shared" si="29"/>
        <v>7.31</v>
      </c>
      <c r="R169" s="5">
        <f t="shared" si="29"/>
        <v>5.7</v>
      </c>
      <c r="S169" s="5">
        <f t="shared" si="28"/>
        <v>5.19</v>
      </c>
      <c r="T169" s="5">
        <f t="shared" si="28"/>
        <v>4.08</v>
      </c>
      <c r="U169" s="5">
        <f t="shared" si="28"/>
        <v>2.96</v>
      </c>
      <c r="V169" s="5">
        <f t="shared" si="28"/>
        <v>2.75</v>
      </c>
      <c r="W169" s="5">
        <f t="shared" si="28"/>
        <v>2.12</v>
      </c>
      <c r="X169" s="5">
        <f t="shared" si="28"/>
        <v>1.8</v>
      </c>
      <c r="Y169" s="5">
        <f t="shared" si="28"/>
        <v>1.47</v>
      </c>
      <c r="Z169" s="5">
        <f t="shared" si="28"/>
        <v>1.42</v>
      </c>
      <c r="AA169" s="5">
        <f t="shared" si="28"/>
        <v>1.27</v>
      </c>
      <c r="AB169" s="5">
        <f t="shared" si="28"/>
        <v>1.05</v>
      </c>
      <c r="AC169" s="5">
        <f t="shared" si="28"/>
        <v>0.87</v>
      </c>
      <c r="AD169" s="5">
        <f t="shared" si="28"/>
        <v>0.84</v>
      </c>
      <c r="AE169" s="5">
        <f t="shared" si="28"/>
        <v>0.72</v>
      </c>
      <c r="AF169" s="5">
        <f t="shared" si="28"/>
        <v>0.64</v>
      </c>
      <c r="AG169" s="5">
        <f t="shared" si="28"/>
        <v>0.59</v>
      </c>
      <c r="AH169" s="5">
        <f t="shared" si="27"/>
        <v>0.38</v>
      </c>
      <c r="AI169" s="5">
        <f t="shared" si="27"/>
        <v>0.26</v>
      </c>
      <c r="AJ169" s="5">
        <f t="shared" si="27"/>
        <v>0.2</v>
      </c>
    </row>
    <row r="170" spans="1:36">
      <c r="A170" t="str">
        <f>"casthouse_procurement_archetype_"&amp;TEXT(ROUND(Table21319[[#This Row],[2016]],1),"0.0")</f>
        <v>casthouse_procurement_archetype_13.5</v>
      </c>
      <c r="B170" s="5">
        <f t="shared" si="24"/>
        <v>13.5</v>
      </c>
      <c r="C170" s="5">
        <f t="shared" si="29"/>
        <v>13.5</v>
      </c>
      <c r="D170" s="5">
        <f t="shared" si="29"/>
        <v>13.5</v>
      </c>
      <c r="E170" s="5">
        <f t="shared" si="29"/>
        <v>13.17</v>
      </c>
      <c r="F170" s="5">
        <f t="shared" si="29"/>
        <v>12.38</v>
      </c>
      <c r="G170" s="5">
        <f t="shared" si="29"/>
        <v>12.49</v>
      </c>
      <c r="H170" s="5">
        <f t="shared" si="29"/>
        <v>12.15</v>
      </c>
      <c r="I170" s="5">
        <f t="shared" si="29"/>
        <v>11.49</v>
      </c>
      <c r="J170" s="5">
        <f t="shared" si="29"/>
        <v>11.11</v>
      </c>
      <c r="K170" s="5">
        <f t="shared" si="29"/>
        <v>10.73</v>
      </c>
      <c r="L170" s="5">
        <f t="shared" si="29"/>
        <v>10.12</v>
      </c>
      <c r="M170" s="5">
        <f t="shared" si="29"/>
        <v>10.05</v>
      </c>
      <c r="N170" s="5">
        <f t="shared" si="29"/>
        <v>9.56</v>
      </c>
      <c r="O170" s="5">
        <f t="shared" si="29"/>
        <v>9.04</v>
      </c>
      <c r="P170" s="5">
        <f t="shared" si="29"/>
        <v>8.43</v>
      </c>
      <c r="Q170" s="5">
        <f t="shared" si="29"/>
        <v>7.25</v>
      </c>
      <c r="R170" s="5">
        <f t="shared" si="29"/>
        <v>5.66</v>
      </c>
      <c r="S170" s="5">
        <f t="shared" si="28"/>
        <v>5.15</v>
      </c>
      <c r="T170" s="5">
        <f t="shared" si="28"/>
        <v>4.05</v>
      </c>
      <c r="U170" s="5">
        <f t="shared" si="28"/>
        <v>2.94</v>
      </c>
      <c r="V170" s="5">
        <f t="shared" si="28"/>
        <v>2.73</v>
      </c>
      <c r="W170" s="5">
        <f t="shared" si="28"/>
        <v>2.11</v>
      </c>
      <c r="X170" s="5">
        <f t="shared" si="28"/>
        <v>1.79</v>
      </c>
      <c r="Y170" s="5">
        <f t="shared" si="28"/>
        <v>1.46</v>
      </c>
      <c r="Z170" s="5">
        <f t="shared" si="28"/>
        <v>1.41</v>
      </c>
      <c r="AA170" s="5">
        <f t="shared" si="28"/>
        <v>1.26</v>
      </c>
      <c r="AB170" s="5">
        <f t="shared" si="28"/>
        <v>1.04</v>
      </c>
      <c r="AC170" s="5">
        <f t="shared" si="28"/>
        <v>0.87</v>
      </c>
      <c r="AD170" s="5">
        <f t="shared" si="28"/>
        <v>0.84</v>
      </c>
      <c r="AE170" s="5">
        <f t="shared" si="28"/>
        <v>0.72</v>
      </c>
      <c r="AF170" s="5">
        <f t="shared" si="28"/>
        <v>0.64</v>
      </c>
      <c r="AG170" s="5">
        <f t="shared" si="28"/>
        <v>0.59</v>
      </c>
      <c r="AH170" s="5">
        <f t="shared" si="27"/>
        <v>0.38</v>
      </c>
      <c r="AI170" s="5">
        <f t="shared" si="27"/>
        <v>0.26</v>
      </c>
      <c r="AJ170" s="5">
        <f t="shared" si="27"/>
        <v>0.2</v>
      </c>
    </row>
    <row r="171" spans="1:36">
      <c r="A171" t="str">
        <f>"casthouse_procurement_archetype_"&amp;TEXT(ROUND(Table21319[[#This Row],[2016]],1),"0.0")</f>
        <v>casthouse_procurement_archetype_13.4</v>
      </c>
      <c r="B171" s="5">
        <f t="shared" si="24"/>
        <v>13.4</v>
      </c>
      <c r="C171" s="5">
        <f t="shared" si="29"/>
        <v>13.4</v>
      </c>
      <c r="D171" s="5">
        <f t="shared" si="29"/>
        <v>13.4</v>
      </c>
      <c r="E171" s="5">
        <f t="shared" si="29"/>
        <v>13.08</v>
      </c>
      <c r="F171" s="5">
        <f t="shared" si="29"/>
        <v>12.29</v>
      </c>
      <c r="G171" s="5">
        <f t="shared" si="29"/>
        <v>12.4</v>
      </c>
      <c r="H171" s="5">
        <f t="shared" si="29"/>
        <v>12.06</v>
      </c>
      <c r="I171" s="5">
        <f t="shared" si="29"/>
        <v>11.4</v>
      </c>
      <c r="J171" s="5">
        <f t="shared" si="29"/>
        <v>11.03</v>
      </c>
      <c r="K171" s="5">
        <f t="shared" si="29"/>
        <v>10.65</v>
      </c>
      <c r="L171" s="5">
        <f t="shared" si="29"/>
        <v>10.05</v>
      </c>
      <c r="M171" s="5">
        <f t="shared" si="29"/>
        <v>9.98</v>
      </c>
      <c r="N171" s="5">
        <f t="shared" si="29"/>
        <v>9.49</v>
      </c>
      <c r="O171" s="5">
        <f t="shared" si="29"/>
        <v>8.97</v>
      </c>
      <c r="P171" s="5">
        <f t="shared" si="29"/>
        <v>8.37</v>
      </c>
      <c r="Q171" s="5">
        <f t="shared" si="29"/>
        <v>7.2</v>
      </c>
      <c r="R171" s="5">
        <f t="shared" si="29"/>
        <v>5.62</v>
      </c>
      <c r="S171" s="5">
        <f t="shared" si="28"/>
        <v>5.11</v>
      </c>
      <c r="T171" s="5">
        <f t="shared" si="28"/>
        <v>4.02</v>
      </c>
      <c r="U171" s="5">
        <f t="shared" si="28"/>
        <v>2.91</v>
      </c>
      <c r="V171" s="5">
        <f t="shared" si="28"/>
        <v>2.71</v>
      </c>
      <c r="W171" s="5">
        <f t="shared" si="28"/>
        <v>2.09</v>
      </c>
      <c r="X171" s="5">
        <f t="shared" si="28"/>
        <v>1.78</v>
      </c>
      <c r="Y171" s="5">
        <f t="shared" si="28"/>
        <v>1.45</v>
      </c>
      <c r="Z171" s="5">
        <f t="shared" si="28"/>
        <v>1.4</v>
      </c>
      <c r="AA171" s="5">
        <f t="shared" si="28"/>
        <v>1.25</v>
      </c>
      <c r="AB171" s="5">
        <f t="shared" si="28"/>
        <v>1.04</v>
      </c>
      <c r="AC171" s="5">
        <f t="shared" si="28"/>
        <v>0.86</v>
      </c>
      <c r="AD171" s="5">
        <f t="shared" si="28"/>
        <v>0.83</v>
      </c>
      <c r="AE171" s="5">
        <f t="shared" si="28"/>
        <v>0.71</v>
      </c>
      <c r="AF171" s="5">
        <f t="shared" si="28"/>
        <v>0.64</v>
      </c>
      <c r="AG171" s="5">
        <f t="shared" si="28"/>
        <v>0.58</v>
      </c>
      <c r="AH171" s="5">
        <f t="shared" si="27"/>
        <v>0.37</v>
      </c>
      <c r="AI171" s="5">
        <f t="shared" si="27"/>
        <v>0.26</v>
      </c>
      <c r="AJ171" s="5">
        <f t="shared" si="27"/>
        <v>0.2</v>
      </c>
    </row>
    <row r="172" spans="1:36">
      <c r="A172" t="str">
        <f>"casthouse_procurement_archetype_"&amp;TEXT(ROUND(Table21319[[#This Row],[2016]],1),"0.0")</f>
        <v>casthouse_procurement_archetype_13.3</v>
      </c>
      <c r="B172" s="5">
        <f t="shared" si="24"/>
        <v>13.3</v>
      </c>
      <c r="C172" s="5">
        <f t="shared" si="29"/>
        <v>13.3</v>
      </c>
      <c r="D172" s="5">
        <f t="shared" si="29"/>
        <v>13.3</v>
      </c>
      <c r="E172" s="5">
        <f t="shared" si="29"/>
        <v>12.98</v>
      </c>
      <c r="F172" s="5">
        <f t="shared" si="29"/>
        <v>12.2</v>
      </c>
      <c r="G172" s="5">
        <f t="shared" si="29"/>
        <v>12.31</v>
      </c>
      <c r="H172" s="5">
        <f t="shared" si="29"/>
        <v>11.97</v>
      </c>
      <c r="I172" s="5">
        <f t="shared" si="29"/>
        <v>11.32</v>
      </c>
      <c r="J172" s="5">
        <f t="shared" si="29"/>
        <v>10.95</v>
      </c>
      <c r="K172" s="5">
        <f t="shared" si="29"/>
        <v>10.57</v>
      </c>
      <c r="L172" s="5">
        <f t="shared" si="29"/>
        <v>9.98</v>
      </c>
      <c r="M172" s="5">
        <f t="shared" si="29"/>
        <v>9.9</v>
      </c>
      <c r="N172" s="5">
        <f t="shared" si="29"/>
        <v>9.41</v>
      </c>
      <c r="O172" s="5">
        <f t="shared" si="29"/>
        <v>8.91</v>
      </c>
      <c r="P172" s="5">
        <f t="shared" si="29"/>
        <v>8.31</v>
      </c>
      <c r="Q172" s="5">
        <f t="shared" si="29"/>
        <v>7.15</v>
      </c>
      <c r="R172" s="5">
        <f t="shared" ref="R172:AG187" si="30">MROUND((($B172-$AJ$2)*((R$2-$AJ$2)/($B$2-$AJ$2)))+$AJ$2,0.01)</f>
        <v>5.58</v>
      </c>
      <c r="S172" s="5">
        <f t="shared" si="30"/>
        <v>5.08</v>
      </c>
      <c r="T172" s="5">
        <f t="shared" si="30"/>
        <v>3.99</v>
      </c>
      <c r="U172" s="5">
        <f t="shared" si="30"/>
        <v>2.89</v>
      </c>
      <c r="V172" s="5">
        <f t="shared" si="30"/>
        <v>2.69</v>
      </c>
      <c r="W172" s="5">
        <f t="shared" si="30"/>
        <v>2.08</v>
      </c>
      <c r="X172" s="5">
        <f t="shared" si="30"/>
        <v>1.77</v>
      </c>
      <c r="Y172" s="5">
        <f t="shared" si="30"/>
        <v>1.44</v>
      </c>
      <c r="Z172" s="5">
        <f t="shared" si="30"/>
        <v>1.39</v>
      </c>
      <c r="AA172" s="5">
        <f t="shared" si="30"/>
        <v>1.25</v>
      </c>
      <c r="AB172" s="5">
        <f t="shared" si="30"/>
        <v>1.03</v>
      </c>
      <c r="AC172" s="5">
        <f t="shared" si="30"/>
        <v>0.86</v>
      </c>
      <c r="AD172" s="5">
        <f t="shared" si="30"/>
        <v>0.83</v>
      </c>
      <c r="AE172" s="5">
        <f t="shared" si="30"/>
        <v>0.71</v>
      </c>
      <c r="AF172" s="5">
        <f t="shared" si="30"/>
        <v>0.63</v>
      </c>
      <c r="AG172" s="5">
        <f t="shared" si="30"/>
        <v>0.58</v>
      </c>
      <c r="AH172" s="5">
        <f t="shared" si="27"/>
        <v>0.37</v>
      </c>
      <c r="AI172" s="5">
        <f t="shared" si="27"/>
        <v>0.26</v>
      </c>
      <c r="AJ172" s="5">
        <f t="shared" si="27"/>
        <v>0.2</v>
      </c>
    </row>
    <row r="173" spans="1:36">
      <c r="A173" t="str">
        <f>"casthouse_procurement_archetype_"&amp;TEXT(ROUND(Table21319[[#This Row],[2016]],1),"0.0")</f>
        <v>casthouse_procurement_archetype_13.2</v>
      </c>
      <c r="B173" s="5">
        <f t="shared" si="24"/>
        <v>13.2</v>
      </c>
      <c r="C173" s="5">
        <f t="shared" ref="C173:R188" si="31">MROUND((($B173-$AJ$2)*((C$2-$AJ$2)/($B$2-$AJ$2)))+$AJ$2,0.01)</f>
        <v>13.2</v>
      </c>
      <c r="D173" s="5">
        <f t="shared" si="31"/>
        <v>13.2</v>
      </c>
      <c r="E173" s="5">
        <f t="shared" si="31"/>
        <v>12.88</v>
      </c>
      <c r="F173" s="5">
        <f t="shared" si="31"/>
        <v>12.11</v>
      </c>
      <c r="G173" s="5">
        <f t="shared" si="31"/>
        <v>12.22</v>
      </c>
      <c r="H173" s="5">
        <f t="shared" si="31"/>
        <v>11.88</v>
      </c>
      <c r="I173" s="5">
        <f t="shared" si="31"/>
        <v>11.23</v>
      </c>
      <c r="J173" s="5">
        <f t="shared" si="31"/>
        <v>10.87</v>
      </c>
      <c r="K173" s="5">
        <f t="shared" si="31"/>
        <v>10.49</v>
      </c>
      <c r="L173" s="5">
        <f t="shared" si="31"/>
        <v>9.9</v>
      </c>
      <c r="M173" s="5">
        <f t="shared" si="31"/>
        <v>9.83</v>
      </c>
      <c r="N173" s="5">
        <f t="shared" si="31"/>
        <v>9.34</v>
      </c>
      <c r="O173" s="5">
        <f t="shared" si="31"/>
        <v>8.84</v>
      </c>
      <c r="P173" s="5">
        <f t="shared" si="31"/>
        <v>8.25</v>
      </c>
      <c r="Q173" s="5">
        <f t="shared" si="31"/>
        <v>7.09</v>
      </c>
      <c r="R173" s="5">
        <f t="shared" si="31"/>
        <v>5.54</v>
      </c>
      <c r="S173" s="5">
        <f t="shared" si="30"/>
        <v>5.04</v>
      </c>
      <c r="T173" s="5">
        <f t="shared" si="30"/>
        <v>3.96</v>
      </c>
      <c r="U173" s="5">
        <f t="shared" si="30"/>
        <v>2.87</v>
      </c>
      <c r="V173" s="5">
        <f t="shared" si="30"/>
        <v>2.67</v>
      </c>
      <c r="W173" s="5">
        <f t="shared" si="30"/>
        <v>2.06</v>
      </c>
      <c r="X173" s="5">
        <f t="shared" si="30"/>
        <v>1.76</v>
      </c>
      <c r="Y173" s="5">
        <f t="shared" si="30"/>
        <v>1.43</v>
      </c>
      <c r="Z173" s="5">
        <f t="shared" si="30"/>
        <v>1.38</v>
      </c>
      <c r="AA173" s="5">
        <f t="shared" si="30"/>
        <v>1.24</v>
      </c>
      <c r="AB173" s="5">
        <f t="shared" si="30"/>
        <v>1.03</v>
      </c>
      <c r="AC173" s="5">
        <f t="shared" si="30"/>
        <v>0.85</v>
      </c>
      <c r="AD173" s="5">
        <f t="shared" si="30"/>
        <v>0.82</v>
      </c>
      <c r="AE173" s="5">
        <f t="shared" si="30"/>
        <v>0.7</v>
      </c>
      <c r="AF173" s="5">
        <f t="shared" si="30"/>
        <v>0.63</v>
      </c>
      <c r="AG173" s="5">
        <f t="shared" si="30"/>
        <v>0.58</v>
      </c>
      <c r="AH173" s="5">
        <f t="shared" si="27"/>
        <v>0.37</v>
      </c>
      <c r="AI173" s="5">
        <f t="shared" si="27"/>
        <v>0.26</v>
      </c>
      <c r="AJ173" s="5">
        <f t="shared" si="27"/>
        <v>0.2</v>
      </c>
    </row>
    <row r="174" spans="1:36">
      <c r="A174" t="str">
        <f>"casthouse_procurement_archetype_"&amp;TEXT(ROUND(Table21319[[#This Row],[2016]],1),"0.0")</f>
        <v>casthouse_procurement_archetype_13.1</v>
      </c>
      <c r="B174" s="5">
        <f t="shared" si="24"/>
        <v>13.1</v>
      </c>
      <c r="C174" s="5">
        <f t="shared" si="31"/>
        <v>13.1</v>
      </c>
      <c r="D174" s="5">
        <f t="shared" si="31"/>
        <v>13.1</v>
      </c>
      <c r="E174" s="5">
        <f t="shared" si="31"/>
        <v>12.78</v>
      </c>
      <c r="F174" s="5">
        <f t="shared" si="31"/>
        <v>12.02</v>
      </c>
      <c r="G174" s="5">
        <f t="shared" si="31"/>
        <v>12.12</v>
      </c>
      <c r="H174" s="5">
        <f t="shared" si="31"/>
        <v>11.79</v>
      </c>
      <c r="I174" s="5">
        <f t="shared" si="31"/>
        <v>11.15</v>
      </c>
      <c r="J174" s="5">
        <f t="shared" si="31"/>
        <v>10.78</v>
      </c>
      <c r="K174" s="5">
        <f t="shared" si="31"/>
        <v>10.41</v>
      </c>
      <c r="L174" s="5">
        <f t="shared" si="31"/>
        <v>9.83</v>
      </c>
      <c r="M174" s="5">
        <f t="shared" si="31"/>
        <v>9.75</v>
      </c>
      <c r="N174" s="5">
        <f t="shared" si="31"/>
        <v>9.27</v>
      </c>
      <c r="O174" s="5">
        <f t="shared" si="31"/>
        <v>8.78</v>
      </c>
      <c r="P174" s="5">
        <f t="shared" si="31"/>
        <v>8.19</v>
      </c>
      <c r="Q174" s="5">
        <f t="shared" si="31"/>
        <v>7.04</v>
      </c>
      <c r="R174" s="5">
        <f t="shared" si="31"/>
        <v>5.5</v>
      </c>
      <c r="S174" s="5">
        <f t="shared" si="30"/>
        <v>5</v>
      </c>
      <c r="T174" s="5">
        <f t="shared" si="30"/>
        <v>3.93</v>
      </c>
      <c r="U174" s="5">
        <f t="shared" si="30"/>
        <v>2.85</v>
      </c>
      <c r="V174" s="5">
        <f t="shared" si="30"/>
        <v>2.65</v>
      </c>
      <c r="W174" s="5">
        <f t="shared" si="30"/>
        <v>2.05</v>
      </c>
      <c r="X174" s="5">
        <f t="shared" si="30"/>
        <v>1.74</v>
      </c>
      <c r="Y174" s="5">
        <f t="shared" si="30"/>
        <v>1.43</v>
      </c>
      <c r="Z174" s="5">
        <f t="shared" si="30"/>
        <v>1.38</v>
      </c>
      <c r="AA174" s="5">
        <f t="shared" si="30"/>
        <v>1.23</v>
      </c>
      <c r="AB174" s="5">
        <f t="shared" si="30"/>
        <v>1.02</v>
      </c>
      <c r="AC174" s="5">
        <f t="shared" si="30"/>
        <v>0.85</v>
      </c>
      <c r="AD174" s="5">
        <f t="shared" si="30"/>
        <v>0.82</v>
      </c>
      <c r="AE174" s="5">
        <f t="shared" si="30"/>
        <v>0.7</v>
      </c>
      <c r="AF174" s="5">
        <f t="shared" si="30"/>
        <v>0.63</v>
      </c>
      <c r="AG174" s="5">
        <f t="shared" si="30"/>
        <v>0.57</v>
      </c>
      <c r="AH174" s="5">
        <f t="shared" si="27"/>
        <v>0.37</v>
      </c>
      <c r="AI174" s="5">
        <f t="shared" si="27"/>
        <v>0.26</v>
      </c>
      <c r="AJ174" s="5">
        <f t="shared" si="27"/>
        <v>0.2</v>
      </c>
    </row>
    <row r="175" spans="1:36">
      <c r="A175" t="str">
        <f>"casthouse_procurement_archetype_"&amp;TEXT(ROUND(Table21319[[#This Row],[2016]],1),"0.0")</f>
        <v>casthouse_procurement_archetype_13.0</v>
      </c>
      <c r="B175" s="5">
        <f t="shared" si="24"/>
        <v>13</v>
      </c>
      <c r="C175" s="5">
        <f t="shared" si="31"/>
        <v>13</v>
      </c>
      <c r="D175" s="5">
        <f t="shared" si="31"/>
        <v>13</v>
      </c>
      <c r="E175" s="5">
        <f t="shared" si="31"/>
        <v>12.69</v>
      </c>
      <c r="F175" s="5">
        <f t="shared" si="31"/>
        <v>11.92</v>
      </c>
      <c r="G175" s="5">
        <f t="shared" si="31"/>
        <v>12.03</v>
      </c>
      <c r="H175" s="5">
        <f t="shared" si="31"/>
        <v>11.7</v>
      </c>
      <c r="I175" s="5">
        <f t="shared" si="31"/>
        <v>11.06</v>
      </c>
      <c r="J175" s="5">
        <f t="shared" si="31"/>
        <v>10.7</v>
      </c>
      <c r="K175" s="5">
        <f t="shared" si="31"/>
        <v>10.33</v>
      </c>
      <c r="L175" s="5">
        <f t="shared" si="31"/>
        <v>9.75</v>
      </c>
      <c r="M175" s="5">
        <f t="shared" si="31"/>
        <v>9.68</v>
      </c>
      <c r="N175" s="5">
        <f t="shared" si="31"/>
        <v>9.2</v>
      </c>
      <c r="O175" s="5">
        <f t="shared" si="31"/>
        <v>8.71</v>
      </c>
      <c r="P175" s="5">
        <f t="shared" si="31"/>
        <v>8.12</v>
      </c>
      <c r="Q175" s="5">
        <f t="shared" si="31"/>
        <v>6.99</v>
      </c>
      <c r="R175" s="5">
        <f t="shared" si="31"/>
        <v>5.45</v>
      </c>
      <c r="S175" s="5">
        <f t="shared" si="30"/>
        <v>4.97</v>
      </c>
      <c r="T175" s="5">
        <f t="shared" si="30"/>
        <v>3.9</v>
      </c>
      <c r="U175" s="5">
        <f t="shared" si="30"/>
        <v>2.83</v>
      </c>
      <c r="V175" s="5">
        <f t="shared" si="30"/>
        <v>2.63</v>
      </c>
      <c r="W175" s="5">
        <f t="shared" si="30"/>
        <v>2.04</v>
      </c>
      <c r="X175" s="5">
        <f t="shared" si="30"/>
        <v>1.73</v>
      </c>
      <c r="Y175" s="5">
        <f t="shared" si="30"/>
        <v>1.42</v>
      </c>
      <c r="Z175" s="5">
        <f t="shared" si="30"/>
        <v>1.37</v>
      </c>
      <c r="AA175" s="5">
        <f t="shared" si="30"/>
        <v>1.22</v>
      </c>
      <c r="AB175" s="5">
        <f t="shared" si="30"/>
        <v>1.01</v>
      </c>
      <c r="AC175" s="5">
        <f t="shared" si="30"/>
        <v>0.84</v>
      </c>
      <c r="AD175" s="5">
        <f t="shared" si="30"/>
        <v>0.81</v>
      </c>
      <c r="AE175" s="5">
        <f t="shared" si="30"/>
        <v>0.7</v>
      </c>
      <c r="AF175" s="5">
        <f t="shared" si="30"/>
        <v>0.62</v>
      </c>
      <c r="AG175" s="5">
        <f t="shared" si="30"/>
        <v>0.57</v>
      </c>
      <c r="AH175" s="5">
        <f t="shared" si="27"/>
        <v>0.37</v>
      </c>
      <c r="AI175" s="5">
        <f t="shared" si="27"/>
        <v>0.25</v>
      </c>
      <c r="AJ175" s="5">
        <f t="shared" si="27"/>
        <v>0.2</v>
      </c>
    </row>
    <row r="176" spans="1:36">
      <c r="A176" t="str">
        <f>"casthouse_procurement_archetype_"&amp;TEXT(ROUND(Table21319[[#This Row],[2016]],1),"0.0")</f>
        <v>casthouse_procurement_archetype_12.9</v>
      </c>
      <c r="B176" s="5">
        <f t="shared" si="24"/>
        <v>12.9</v>
      </c>
      <c r="C176" s="5">
        <f t="shared" si="31"/>
        <v>12.9</v>
      </c>
      <c r="D176" s="5">
        <f t="shared" si="31"/>
        <v>12.9</v>
      </c>
      <c r="E176" s="5">
        <f t="shared" si="31"/>
        <v>12.59</v>
      </c>
      <c r="F176" s="5">
        <f t="shared" si="31"/>
        <v>11.83</v>
      </c>
      <c r="G176" s="5">
        <f t="shared" si="31"/>
        <v>11.94</v>
      </c>
      <c r="H176" s="5">
        <f t="shared" si="31"/>
        <v>11.61</v>
      </c>
      <c r="I176" s="5">
        <f t="shared" si="31"/>
        <v>10.98</v>
      </c>
      <c r="J176" s="5">
        <f t="shared" si="31"/>
        <v>10.62</v>
      </c>
      <c r="K176" s="5">
        <f t="shared" si="31"/>
        <v>10.25</v>
      </c>
      <c r="L176" s="5">
        <f t="shared" si="31"/>
        <v>9.68</v>
      </c>
      <c r="M176" s="5">
        <f t="shared" si="31"/>
        <v>9.61</v>
      </c>
      <c r="N176" s="5">
        <f t="shared" si="31"/>
        <v>9.13</v>
      </c>
      <c r="O176" s="5">
        <f t="shared" si="31"/>
        <v>8.64</v>
      </c>
      <c r="P176" s="5">
        <f t="shared" si="31"/>
        <v>8.06</v>
      </c>
      <c r="Q176" s="5">
        <f t="shared" si="31"/>
        <v>6.93</v>
      </c>
      <c r="R176" s="5">
        <f t="shared" si="31"/>
        <v>5.41</v>
      </c>
      <c r="S176" s="5">
        <f t="shared" si="30"/>
        <v>4.93</v>
      </c>
      <c r="T176" s="5">
        <f t="shared" si="30"/>
        <v>3.87</v>
      </c>
      <c r="U176" s="5">
        <f t="shared" si="30"/>
        <v>2.81</v>
      </c>
      <c r="V176" s="5">
        <f t="shared" si="30"/>
        <v>2.61</v>
      </c>
      <c r="W176" s="5">
        <f t="shared" si="30"/>
        <v>2.02</v>
      </c>
      <c r="X176" s="5">
        <f t="shared" si="30"/>
        <v>1.72</v>
      </c>
      <c r="Y176" s="5">
        <f t="shared" si="30"/>
        <v>1.41</v>
      </c>
      <c r="Z176" s="5">
        <f t="shared" si="30"/>
        <v>1.36</v>
      </c>
      <c r="AA176" s="5">
        <f t="shared" si="30"/>
        <v>1.21</v>
      </c>
      <c r="AB176" s="5">
        <f t="shared" si="30"/>
        <v>1.01</v>
      </c>
      <c r="AC176" s="5">
        <f t="shared" si="30"/>
        <v>0.84</v>
      </c>
      <c r="AD176" s="5">
        <f t="shared" si="30"/>
        <v>0.81</v>
      </c>
      <c r="AE176" s="5">
        <f t="shared" si="30"/>
        <v>0.69</v>
      </c>
      <c r="AF176" s="5">
        <f t="shared" si="30"/>
        <v>0.62</v>
      </c>
      <c r="AG176" s="5">
        <f t="shared" si="30"/>
        <v>0.57</v>
      </c>
      <c r="AH176" s="5">
        <f t="shared" si="27"/>
        <v>0.37</v>
      </c>
      <c r="AI176" s="5">
        <f t="shared" si="27"/>
        <v>0.25</v>
      </c>
      <c r="AJ176" s="5">
        <f t="shared" si="27"/>
        <v>0.2</v>
      </c>
    </row>
    <row r="177" spans="1:36">
      <c r="A177" t="str">
        <f>"casthouse_procurement_archetype_"&amp;TEXT(ROUND(Table21319[[#This Row],[2016]],1),"0.0")</f>
        <v>casthouse_procurement_archetype_12.8</v>
      </c>
      <c r="B177" s="5">
        <f t="shared" si="24"/>
        <v>12.8</v>
      </c>
      <c r="C177" s="5">
        <f t="shared" si="31"/>
        <v>12.8</v>
      </c>
      <c r="D177" s="5">
        <f t="shared" si="31"/>
        <v>12.8</v>
      </c>
      <c r="E177" s="5">
        <f t="shared" si="31"/>
        <v>12.49</v>
      </c>
      <c r="F177" s="5">
        <f t="shared" si="31"/>
        <v>11.74</v>
      </c>
      <c r="G177" s="5">
        <f t="shared" si="31"/>
        <v>11.85</v>
      </c>
      <c r="H177" s="5">
        <f t="shared" si="31"/>
        <v>11.52</v>
      </c>
      <c r="I177" s="5">
        <f t="shared" si="31"/>
        <v>10.89</v>
      </c>
      <c r="J177" s="5">
        <f t="shared" si="31"/>
        <v>10.54</v>
      </c>
      <c r="K177" s="5">
        <f t="shared" si="31"/>
        <v>10.18</v>
      </c>
      <c r="L177" s="5">
        <f t="shared" si="31"/>
        <v>9.6</v>
      </c>
      <c r="M177" s="5">
        <f t="shared" si="31"/>
        <v>9.53</v>
      </c>
      <c r="N177" s="5">
        <f t="shared" si="31"/>
        <v>9.06</v>
      </c>
      <c r="O177" s="5">
        <f t="shared" si="31"/>
        <v>8.58</v>
      </c>
      <c r="P177" s="5">
        <f t="shared" si="31"/>
        <v>8</v>
      </c>
      <c r="Q177" s="5">
        <f t="shared" si="31"/>
        <v>6.88</v>
      </c>
      <c r="R177" s="5">
        <f t="shared" si="31"/>
        <v>5.37</v>
      </c>
      <c r="S177" s="5">
        <f t="shared" si="30"/>
        <v>4.89</v>
      </c>
      <c r="T177" s="5">
        <f t="shared" si="30"/>
        <v>3.85</v>
      </c>
      <c r="U177" s="5">
        <f t="shared" si="30"/>
        <v>2.79</v>
      </c>
      <c r="V177" s="5">
        <f t="shared" si="30"/>
        <v>2.6</v>
      </c>
      <c r="W177" s="5">
        <f t="shared" si="30"/>
        <v>2.01</v>
      </c>
      <c r="X177" s="5">
        <f t="shared" si="30"/>
        <v>1.71</v>
      </c>
      <c r="Y177" s="5">
        <f t="shared" si="30"/>
        <v>1.4</v>
      </c>
      <c r="Z177" s="5">
        <f t="shared" si="30"/>
        <v>1.35</v>
      </c>
      <c r="AA177" s="5">
        <f t="shared" si="30"/>
        <v>1.21</v>
      </c>
      <c r="AB177" s="5">
        <f t="shared" si="30"/>
        <v>1</v>
      </c>
      <c r="AC177" s="5">
        <f t="shared" si="30"/>
        <v>0.83</v>
      </c>
      <c r="AD177" s="5">
        <f t="shared" si="30"/>
        <v>0.8</v>
      </c>
      <c r="AE177" s="5">
        <f t="shared" si="30"/>
        <v>0.69</v>
      </c>
      <c r="AF177" s="5">
        <f t="shared" si="30"/>
        <v>0.62</v>
      </c>
      <c r="AG177" s="5">
        <f t="shared" si="30"/>
        <v>0.56</v>
      </c>
      <c r="AH177" s="5">
        <f t="shared" si="27"/>
        <v>0.37</v>
      </c>
      <c r="AI177" s="5">
        <f t="shared" si="27"/>
        <v>0.25</v>
      </c>
      <c r="AJ177" s="5">
        <f t="shared" si="27"/>
        <v>0.2</v>
      </c>
    </row>
    <row r="178" spans="1:36">
      <c r="A178" t="str">
        <f>"casthouse_procurement_archetype_"&amp;TEXT(ROUND(Table21319[[#This Row],[2016]],1),"0.0")</f>
        <v>casthouse_procurement_archetype_12.7</v>
      </c>
      <c r="B178" s="5">
        <f t="shared" si="24"/>
        <v>12.7</v>
      </c>
      <c r="C178" s="5">
        <f t="shared" si="31"/>
        <v>12.7</v>
      </c>
      <c r="D178" s="5">
        <f t="shared" si="31"/>
        <v>12.7</v>
      </c>
      <c r="E178" s="5">
        <f t="shared" si="31"/>
        <v>12.39</v>
      </c>
      <c r="F178" s="5">
        <f t="shared" si="31"/>
        <v>11.65</v>
      </c>
      <c r="G178" s="5">
        <f t="shared" si="31"/>
        <v>11.75</v>
      </c>
      <c r="H178" s="5">
        <f t="shared" si="31"/>
        <v>11.43</v>
      </c>
      <c r="I178" s="5">
        <f t="shared" si="31"/>
        <v>10.81</v>
      </c>
      <c r="J178" s="5">
        <f t="shared" si="31"/>
        <v>10.46</v>
      </c>
      <c r="K178" s="5">
        <f t="shared" si="31"/>
        <v>10.1</v>
      </c>
      <c r="L178" s="5">
        <f t="shared" si="31"/>
        <v>9.53</v>
      </c>
      <c r="M178" s="5">
        <f t="shared" si="31"/>
        <v>9.46</v>
      </c>
      <c r="N178" s="5">
        <f t="shared" si="31"/>
        <v>8.99</v>
      </c>
      <c r="O178" s="5">
        <f t="shared" si="31"/>
        <v>8.51</v>
      </c>
      <c r="P178" s="5">
        <f t="shared" si="31"/>
        <v>7.94</v>
      </c>
      <c r="Q178" s="5">
        <f t="shared" si="31"/>
        <v>6.83</v>
      </c>
      <c r="R178" s="5">
        <f t="shared" si="31"/>
        <v>5.33</v>
      </c>
      <c r="S178" s="5">
        <f t="shared" si="30"/>
        <v>4.85</v>
      </c>
      <c r="T178" s="5">
        <f t="shared" si="30"/>
        <v>3.82</v>
      </c>
      <c r="U178" s="5">
        <f t="shared" si="30"/>
        <v>2.77</v>
      </c>
      <c r="V178" s="5">
        <f t="shared" si="30"/>
        <v>2.58</v>
      </c>
      <c r="W178" s="5">
        <f t="shared" si="30"/>
        <v>1.99</v>
      </c>
      <c r="X178" s="5">
        <f t="shared" si="30"/>
        <v>1.7</v>
      </c>
      <c r="Y178" s="5">
        <f t="shared" si="30"/>
        <v>1.39</v>
      </c>
      <c r="Z178" s="5">
        <f t="shared" si="30"/>
        <v>1.34</v>
      </c>
      <c r="AA178" s="5">
        <f t="shared" si="30"/>
        <v>1.2</v>
      </c>
      <c r="AB178" s="5">
        <f t="shared" si="30"/>
        <v>0.99</v>
      </c>
      <c r="AC178" s="5">
        <f t="shared" si="30"/>
        <v>0.83</v>
      </c>
      <c r="AD178" s="5">
        <f t="shared" si="30"/>
        <v>0.8</v>
      </c>
      <c r="AE178" s="5">
        <f t="shared" si="30"/>
        <v>0.68</v>
      </c>
      <c r="AF178" s="5">
        <f t="shared" si="30"/>
        <v>0.61</v>
      </c>
      <c r="AG178" s="5">
        <f t="shared" si="30"/>
        <v>0.56</v>
      </c>
      <c r="AH178" s="5">
        <f t="shared" si="27"/>
        <v>0.36</v>
      </c>
      <c r="AI178" s="5">
        <f t="shared" si="27"/>
        <v>0.25</v>
      </c>
      <c r="AJ178" s="5">
        <f t="shared" si="27"/>
        <v>0.2</v>
      </c>
    </row>
    <row r="179" spans="1:36">
      <c r="A179" t="str">
        <f>"casthouse_procurement_archetype_"&amp;TEXT(ROUND(Table21319[[#This Row],[2016]],1),"0.0")</f>
        <v>casthouse_procurement_archetype_12.6</v>
      </c>
      <c r="B179" s="5">
        <f t="shared" si="24"/>
        <v>12.6</v>
      </c>
      <c r="C179" s="5">
        <f t="shared" si="31"/>
        <v>12.6</v>
      </c>
      <c r="D179" s="5">
        <f t="shared" si="31"/>
        <v>12.6</v>
      </c>
      <c r="E179" s="5">
        <f t="shared" si="31"/>
        <v>12.3</v>
      </c>
      <c r="F179" s="5">
        <f t="shared" si="31"/>
        <v>11.56</v>
      </c>
      <c r="G179" s="5">
        <f t="shared" si="31"/>
        <v>11.66</v>
      </c>
      <c r="H179" s="5">
        <f t="shared" si="31"/>
        <v>11.34</v>
      </c>
      <c r="I179" s="5">
        <f t="shared" si="31"/>
        <v>10.72</v>
      </c>
      <c r="J179" s="5">
        <f t="shared" si="31"/>
        <v>10.37</v>
      </c>
      <c r="K179" s="5">
        <f t="shared" si="31"/>
        <v>10.02</v>
      </c>
      <c r="L179" s="5">
        <f t="shared" si="31"/>
        <v>9.45</v>
      </c>
      <c r="M179" s="5">
        <f t="shared" si="31"/>
        <v>9.38</v>
      </c>
      <c r="N179" s="5">
        <f t="shared" si="31"/>
        <v>8.92</v>
      </c>
      <c r="O179" s="5">
        <f t="shared" si="31"/>
        <v>8.44</v>
      </c>
      <c r="P179" s="5">
        <f t="shared" si="31"/>
        <v>7.88</v>
      </c>
      <c r="Q179" s="5">
        <f t="shared" si="31"/>
        <v>6.78</v>
      </c>
      <c r="R179" s="5">
        <f t="shared" si="31"/>
        <v>5.29</v>
      </c>
      <c r="S179" s="5">
        <f t="shared" si="30"/>
        <v>4.82</v>
      </c>
      <c r="T179" s="5">
        <f t="shared" si="30"/>
        <v>3.79</v>
      </c>
      <c r="U179" s="5">
        <f t="shared" si="30"/>
        <v>2.75</v>
      </c>
      <c r="V179" s="5">
        <f t="shared" si="30"/>
        <v>2.56</v>
      </c>
      <c r="W179" s="5">
        <f t="shared" si="30"/>
        <v>1.98</v>
      </c>
      <c r="X179" s="5">
        <f t="shared" si="30"/>
        <v>1.68</v>
      </c>
      <c r="Y179" s="5">
        <f t="shared" si="30"/>
        <v>1.38</v>
      </c>
      <c r="Z179" s="5">
        <f t="shared" si="30"/>
        <v>1.33</v>
      </c>
      <c r="AA179" s="5">
        <f t="shared" si="30"/>
        <v>1.19</v>
      </c>
      <c r="AB179" s="5">
        <f t="shared" si="30"/>
        <v>0.99</v>
      </c>
      <c r="AC179" s="5">
        <f t="shared" si="30"/>
        <v>0.82</v>
      </c>
      <c r="AD179" s="5">
        <f t="shared" si="30"/>
        <v>0.79</v>
      </c>
      <c r="AE179" s="5">
        <f t="shared" si="30"/>
        <v>0.68</v>
      </c>
      <c r="AF179" s="5">
        <f t="shared" si="30"/>
        <v>0.61</v>
      </c>
      <c r="AG179" s="5">
        <f t="shared" si="30"/>
        <v>0.56</v>
      </c>
      <c r="AH179" s="5">
        <f t="shared" si="27"/>
        <v>0.36</v>
      </c>
      <c r="AI179" s="5">
        <f t="shared" si="27"/>
        <v>0.25</v>
      </c>
      <c r="AJ179" s="5">
        <f t="shared" si="27"/>
        <v>0.2</v>
      </c>
    </row>
    <row r="180" spans="1:36">
      <c r="A180" t="str">
        <f>"casthouse_procurement_archetype_"&amp;TEXT(ROUND(Table21319[[#This Row],[2016]],1),"0.0")</f>
        <v>casthouse_procurement_archetype_12.5</v>
      </c>
      <c r="B180" s="5">
        <f t="shared" si="24"/>
        <v>12.5</v>
      </c>
      <c r="C180" s="5">
        <f t="shared" si="31"/>
        <v>12.5</v>
      </c>
      <c r="D180" s="5">
        <f t="shared" si="31"/>
        <v>12.5</v>
      </c>
      <c r="E180" s="5">
        <f t="shared" si="31"/>
        <v>12.2</v>
      </c>
      <c r="F180" s="5">
        <f t="shared" si="31"/>
        <v>11.47</v>
      </c>
      <c r="G180" s="5">
        <f t="shared" si="31"/>
        <v>11.57</v>
      </c>
      <c r="H180" s="5">
        <f t="shared" si="31"/>
        <v>11.25</v>
      </c>
      <c r="I180" s="5">
        <f t="shared" si="31"/>
        <v>10.64</v>
      </c>
      <c r="J180" s="5">
        <f t="shared" si="31"/>
        <v>10.29</v>
      </c>
      <c r="K180" s="5">
        <f t="shared" si="31"/>
        <v>9.94</v>
      </c>
      <c r="L180" s="5">
        <f t="shared" si="31"/>
        <v>9.38</v>
      </c>
      <c r="M180" s="5">
        <f t="shared" si="31"/>
        <v>9.31</v>
      </c>
      <c r="N180" s="5">
        <f t="shared" si="31"/>
        <v>8.85</v>
      </c>
      <c r="O180" s="5">
        <f t="shared" si="31"/>
        <v>8.38</v>
      </c>
      <c r="P180" s="5">
        <f t="shared" si="31"/>
        <v>7.81</v>
      </c>
      <c r="Q180" s="5">
        <f t="shared" si="31"/>
        <v>6.72</v>
      </c>
      <c r="R180" s="5">
        <f t="shared" si="31"/>
        <v>5.25</v>
      </c>
      <c r="S180" s="5">
        <f t="shared" si="30"/>
        <v>4.78</v>
      </c>
      <c r="T180" s="5">
        <f t="shared" si="30"/>
        <v>3.76</v>
      </c>
      <c r="U180" s="5">
        <f t="shared" si="30"/>
        <v>2.73</v>
      </c>
      <c r="V180" s="5">
        <f t="shared" si="30"/>
        <v>2.54</v>
      </c>
      <c r="W180" s="5">
        <f t="shared" si="30"/>
        <v>1.96</v>
      </c>
      <c r="X180" s="5">
        <f t="shared" si="30"/>
        <v>1.67</v>
      </c>
      <c r="Y180" s="5">
        <f t="shared" si="30"/>
        <v>1.37</v>
      </c>
      <c r="Z180" s="5">
        <f t="shared" si="30"/>
        <v>1.32</v>
      </c>
      <c r="AA180" s="5">
        <f t="shared" si="30"/>
        <v>1.18</v>
      </c>
      <c r="AB180" s="5">
        <f t="shared" si="30"/>
        <v>0.98</v>
      </c>
      <c r="AC180" s="5">
        <f t="shared" si="30"/>
        <v>0.82</v>
      </c>
      <c r="AD180" s="5">
        <f t="shared" si="30"/>
        <v>0.79</v>
      </c>
      <c r="AE180" s="5">
        <f t="shared" si="30"/>
        <v>0.68</v>
      </c>
      <c r="AF180" s="5">
        <f t="shared" si="30"/>
        <v>0.61</v>
      </c>
      <c r="AG180" s="5">
        <f t="shared" si="30"/>
        <v>0.56</v>
      </c>
      <c r="AH180" s="5">
        <f t="shared" si="27"/>
        <v>0.36</v>
      </c>
      <c r="AI180" s="5">
        <f t="shared" si="27"/>
        <v>0.25</v>
      </c>
      <c r="AJ180" s="5">
        <f t="shared" si="27"/>
        <v>0.2</v>
      </c>
    </row>
    <row r="181" spans="1:36">
      <c r="A181" t="str">
        <f>"casthouse_procurement_archetype_"&amp;TEXT(ROUND(Table21319[[#This Row],[2016]],1),"0.0")</f>
        <v>casthouse_procurement_archetype_12.4</v>
      </c>
      <c r="B181" s="5">
        <f t="shared" si="24"/>
        <v>12.4</v>
      </c>
      <c r="C181" s="5">
        <f t="shared" si="31"/>
        <v>12.4</v>
      </c>
      <c r="D181" s="5">
        <f t="shared" si="31"/>
        <v>12.4</v>
      </c>
      <c r="E181" s="5">
        <f t="shared" si="31"/>
        <v>12.1</v>
      </c>
      <c r="F181" s="5">
        <f t="shared" si="31"/>
        <v>11.37</v>
      </c>
      <c r="G181" s="5">
        <f t="shared" si="31"/>
        <v>11.48</v>
      </c>
      <c r="H181" s="5">
        <f t="shared" si="31"/>
        <v>11.16</v>
      </c>
      <c r="I181" s="5">
        <f t="shared" si="31"/>
        <v>10.55</v>
      </c>
      <c r="J181" s="5">
        <f t="shared" si="31"/>
        <v>10.21</v>
      </c>
      <c r="K181" s="5">
        <f t="shared" si="31"/>
        <v>9.86</v>
      </c>
      <c r="L181" s="5">
        <f t="shared" si="31"/>
        <v>9.3</v>
      </c>
      <c r="M181" s="5">
        <f t="shared" si="31"/>
        <v>9.24</v>
      </c>
      <c r="N181" s="5">
        <f t="shared" si="31"/>
        <v>8.78</v>
      </c>
      <c r="O181" s="5">
        <f t="shared" si="31"/>
        <v>8.31</v>
      </c>
      <c r="P181" s="5">
        <f t="shared" si="31"/>
        <v>7.75</v>
      </c>
      <c r="Q181" s="5">
        <f t="shared" si="31"/>
        <v>6.67</v>
      </c>
      <c r="R181" s="5">
        <f t="shared" si="31"/>
        <v>5.21</v>
      </c>
      <c r="S181" s="5">
        <f t="shared" si="30"/>
        <v>4.74</v>
      </c>
      <c r="T181" s="5">
        <f t="shared" si="30"/>
        <v>3.73</v>
      </c>
      <c r="U181" s="5">
        <f t="shared" si="30"/>
        <v>2.71</v>
      </c>
      <c r="V181" s="5">
        <f t="shared" si="30"/>
        <v>2.52</v>
      </c>
      <c r="W181" s="5">
        <f t="shared" si="30"/>
        <v>1.95</v>
      </c>
      <c r="X181" s="5">
        <f t="shared" si="30"/>
        <v>1.66</v>
      </c>
      <c r="Y181" s="5">
        <f t="shared" si="30"/>
        <v>1.36</v>
      </c>
      <c r="Z181" s="5">
        <f t="shared" si="30"/>
        <v>1.31</v>
      </c>
      <c r="AA181" s="5">
        <f t="shared" si="30"/>
        <v>1.17</v>
      </c>
      <c r="AB181" s="5">
        <f t="shared" si="30"/>
        <v>0.97</v>
      </c>
      <c r="AC181" s="5">
        <f t="shared" si="30"/>
        <v>0.81</v>
      </c>
      <c r="AD181" s="5">
        <f t="shared" si="30"/>
        <v>0.78</v>
      </c>
      <c r="AE181" s="5">
        <f t="shared" si="30"/>
        <v>0.67</v>
      </c>
      <c r="AF181" s="5">
        <f t="shared" si="30"/>
        <v>0.6</v>
      </c>
      <c r="AG181" s="5">
        <f t="shared" si="30"/>
        <v>0.55</v>
      </c>
      <c r="AH181" s="5">
        <f t="shared" si="27"/>
        <v>0.36</v>
      </c>
      <c r="AI181" s="5">
        <f t="shared" si="27"/>
        <v>0.25</v>
      </c>
      <c r="AJ181" s="5">
        <f t="shared" si="27"/>
        <v>0.2</v>
      </c>
    </row>
    <row r="182" spans="1:36">
      <c r="A182" t="str">
        <f>"casthouse_procurement_archetype_"&amp;TEXT(ROUND(Table21319[[#This Row],[2016]],1),"0.0")</f>
        <v>casthouse_procurement_archetype_12.3</v>
      </c>
      <c r="B182" s="5">
        <f t="shared" si="24"/>
        <v>12.3</v>
      </c>
      <c r="C182" s="5">
        <f t="shared" si="31"/>
        <v>12.3</v>
      </c>
      <c r="D182" s="5">
        <f t="shared" si="31"/>
        <v>12.3</v>
      </c>
      <c r="E182" s="5">
        <f t="shared" si="31"/>
        <v>12</v>
      </c>
      <c r="F182" s="5">
        <f t="shared" si="31"/>
        <v>11.28</v>
      </c>
      <c r="G182" s="5">
        <f t="shared" si="31"/>
        <v>11.38</v>
      </c>
      <c r="H182" s="5">
        <f t="shared" si="31"/>
        <v>11.07</v>
      </c>
      <c r="I182" s="5">
        <f t="shared" si="31"/>
        <v>10.47</v>
      </c>
      <c r="J182" s="5">
        <f t="shared" si="31"/>
        <v>10.13</v>
      </c>
      <c r="K182" s="5">
        <f t="shared" si="31"/>
        <v>9.78</v>
      </c>
      <c r="L182" s="5">
        <f t="shared" si="31"/>
        <v>9.23</v>
      </c>
      <c r="M182" s="5">
        <f t="shared" si="31"/>
        <v>9.16</v>
      </c>
      <c r="N182" s="5">
        <f t="shared" si="31"/>
        <v>8.71</v>
      </c>
      <c r="O182" s="5">
        <f t="shared" si="31"/>
        <v>8.24</v>
      </c>
      <c r="P182" s="5">
        <f t="shared" si="31"/>
        <v>7.69</v>
      </c>
      <c r="Q182" s="5">
        <f t="shared" si="31"/>
        <v>6.62</v>
      </c>
      <c r="R182" s="5">
        <f t="shared" si="31"/>
        <v>5.17</v>
      </c>
      <c r="S182" s="5">
        <f t="shared" si="30"/>
        <v>4.71</v>
      </c>
      <c r="T182" s="5">
        <f t="shared" si="30"/>
        <v>3.7</v>
      </c>
      <c r="U182" s="5">
        <f t="shared" si="30"/>
        <v>2.69</v>
      </c>
      <c r="V182" s="5">
        <f t="shared" si="30"/>
        <v>2.5</v>
      </c>
      <c r="W182" s="5">
        <f t="shared" si="30"/>
        <v>1.94</v>
      </c>
      <c r="X182" s="5">
        <f t="shared" si="30"/>
        <v>1.65</v>
      </c>
      <c r="Y182" s="5">
        <f t="shared" si="30"/>
        <v>1.35</v>
      </c>
      <c r="Z182" s="5">
        <f t="shared" si="30"/>
        <v>1.3</v>
      </c>
      <c r="AA182" s="5">
        <f t="shared" si="30"/>
        <v>1.17</v>
      </c>
      <c r="AB182" s="5">
        <f t="shared" si="30"/>
        <v>0.97</v>
      </c>
      <c r="AC182" s="5">
        <f t="shared" si="30"/>
        <v>0.81</v>
      </c>
      <c r="AD182" s="5">
        <f t="shared" si="30"/>
        <v>0.78</v>
      </c>
      <c r="AE182" s="5">
        <f t="shared" si="30"/>
        <v>0.67</v>
      </c>
      <c r="AF182" s="5">
        <f t="shared" si="30"/>
        <v>0.6</v>
      </c>
      <c r="AG182" s="5">
        <f t="shared" si="30"/>
        <v>0.55</v>
      </c>
      <c r="AH182" s="5">
        <f t="shared" si="27"/>
        <v>0.36</v>
      </c>
      <c r="AI182" s="5">
        <f t="shared" si="27"/>
        <v>0.25</v>
      </c>
      <c r="AJ182" s="5">
        <f t="shared" si="27"/>
        <v>0.2</v>
      </c>
    </row>
    <row r="183" spans="1:36">
      <c r="A183" t="str">
        <f>"casthouse_procurement_archetype_"&amp;TEXT(ROUND(Table21319[[#This Row],[2016]],1),"0.0")</f>
        <v>casthouse_procurement_archetype_12.2</v>
      </c>
      <c r="B183" s="5">
        <f t="shared" si="24"/>
        <v>12.2</v>
      </c>
      <c r="C183" s="5">
        <f t="shared" si="31"/>
        <v>12.2</v>
      </c>
      <c r="D183" s="5">
        <f t="shared" si="31"/>
        <v>12.2</v>
      </c>
      <c r="E183" s="5">
        <f t="shared" si="31"/>
        <v>11.9</v>
      </c>
      <c r="F183" s="5">
        <f t="shared" si="31"/>
        <v>11.19</v>
      </c>
      <c r="G183" s="5">
        <f t="shared" si="31"/>
        <v>11.29</v>
      </c>
      <c r="H183" s="5">
        <f t="shared" si="31"/>
        <v>10.98</v>
      </c>
      <c r="I183" s="5">
        <f t="shared" si="31"/>
        <v>10.38</v>
      </c>
      <c r="J183" s="5">
        <f t="shared" si="31"/>
        <v>10.05</v>
      </c>
      <c r="K183" s="5">
        <f t="shared" si="31"/>
        <v>9.7</v>
      </c>
      <c r="L183" s="5">
        <f t="shared" si="31"/>
        <v>9.15</v>
      </c>
      <c r="M183" s="5">
        <f t="shared" si="31"/>
        <v>9.09</v>
      </c>
      <c r="N183" s="5">
        <f t="shared" si="31"/>
        <v>8.64</v>
      </c>
      <c r="O183" s="5">
        <f t="shared" si="31"/>
        <v>8.18</v>
      </c>
      <c r="P183" s="5">
        <f t="shared" si="31"/>
        <v>7.63</v>
      </c>
      <c r="Q183" s="5">
        <f t="shared" si="31"/>
        <v>6.56</v>
      </c>
      <c r="R183" s="5">
        <f t="shared" si="31"/>
        <v>5.13</v>
      </c>
      <c r="S183" s="5">
        <f t="shared" si="30"/>
        <v>4.67</v>
      </c>
      <c r="T183" s="5">
        <f t="shared" si="30"/>
        <v>3.67</v>
      </c>
      <c r="U183" s="5">
        <f t="shared" si="30"/>
        <v>2.67</v>
      </c>
      <c r="V183" s="5">
        <f t="shared" si="30"/>
        <v>2.48</v>
      </c>
      <c r="W183" s="5">
        <f t="shared" si="30"/>
        <v>1.92</v>
      </c>
      <c r="X183" s="5">
        <f t="shared" si="30"/>
        <v>1.64</v>
      </c>
      <c r="Y183" s="5">
        <f t="shared" si="30"/>
        <v>1.34</v>
      </c>
      <c r="Z183" s="5">
        <f t="shared" si="30"/>
        <v>1.29</v>
      </c>
      <c r="AA183" s="5">
        <f t="shared" si="30"/>
        <v>1.16</v>
      </c>
      <c r="AB183" s="5">
        <f t="shared" si="30"/>
        <v>0.96</v>
      </c>
      <c r="AC183" s="5">
        <f t="shared" si="30"/>
        <v>0.8</v>
      </c>
      <c r="AD183" s="5">
        <f t="shared" si="30"/>
        <v>0.77</v>
      </c>
      <c r="AE183" s="5">
        <f t="shared" si="30"/>
        <v>0.67</v>
      </c>
      <c r="AF183" s="5">
        <f t="shared" si="30"/>
        <v>0.6</v>
      </c>
      <c r="AG183" s="5">
        <f t="shared" si="30"/>
        <v>0.55</v>
      </c>
      <c r="AH183" s="5">
        <f t="shared" si="27"/>
        <v>0.36</v>
      </c>
      <c r="AI183" s="5">
        <f t="shared" si="27"/>
        <v>0.25</v>
      </c>
      <c r="AJ183" s="5">
        <f t="shared" si="27"/>
        <v>0.2</v>
      </c>
    </row>
    <row r="184" spans="1:36">
      <c r="A184" t="str">
        <f>"casthouse_procurement_archetype_"&amp;TEXT(ROUND(Table21319[[#This Row],[2016]],1),"0.0")</f>
        <v>casthouse_procurement_archetype_12.1</v>
      </c>
      <c r="B184" s="5">
        <f t="shared" si="24"/>
        <v>12.1</v>
      </c>
      <c r="C184" s="5">
        <f t="shared" si="31"/>
        <v>12.1</v>
      </c>
      <c r="D184" s="5">
        <f t="shared" si="31"/>
        <v>12.1</v>
      </c>
      <c r="E184" s="5">
        <f t="shared" si="31"/>
        <v>11.81</v>
      </c>
      <c r="F184" s="5">
        <f t="shared" si="31"/>
        <v>11.1</v>
      </c>
      <c r="G184" s="5">
        <f t="shared" si="31"/>
        <v>11.2</v>
      </c>
      <c r="H184" s="5">
        <f t="shared" si="31"/>
        <v>10.89</v>
      </c>
      <c r="I184" s="5">
        <f t="shared" si="31"/>
        <v>10.3</v>
      </c>
      <c r="J184" s="5">
        <f t="shared" si="31"/>
        <v>9.96</v>
      </c>
      <c r="K184" s="5">
        <f t="shared" si="31"/>
        <v>9.62</v>
      </c>
      <c r="L184" s="5">
        <f t="shared" si="31"/>
        <v>9.08</v>
      </c>
      <c r="M184" s="5">
        <f t="shared" si="31"/>
        <v>9.01</v>
      </c>
      <c r="N184" s="5">
        <f t="shared" si="31"/>
        <v>8.57</v>
      </c>
      <c r="O184" s="5">
        <f t="shared" si="31"/>
        <v>8.11</v>
      </c>
      <c r="P184" s="5">
        <f t="shared" si="31"/>
        <v>7.57</v>
      </c>
      <c r="Q184" s="5">
        <f t="shared" si="31"/>
        <v>6.51</v>
      </c>
      <c r="R184" s="5">
        <f t="shared" si="31"/>
        <v>5.09</v>
      </c>
      <c r="S184" s="5">
        <f t="shared" si="30"/>
        <v>4.63</v>
      </c>
      <c r="T184" s="5">
        <f t="shared" si="30"/>
        <v>3.64</v>
      </c>
      <c r="U184" s="5">
        <f t="shared" si="30"/>
        <v>2.65</v>
      </c>
      <c r="V184" s="5">
        <f t="shared" si="30"/>
        <v>2.46</v>
      </c>
      <c r="W184" s="5">
        <f t="shared" si="30"/>
        <v>1.91</v>
      </c>
      <c r="X184" s="5">
        <f t="shared" si="30"/>
        <v>1.62</v>
      </c>
      <c r="Y184" s="5">
        <f t="shared" si="30"/>
        <v>1.33</v>
      </c>
      <c r="Z184" s="5">
        <f t="shared" si="30"/>
        <v>1.28</v>
      </c>
      <c r="AA184" s="5">
        <f t="shared" si="30"/>
        <v>1.15</v>
      </c>
      <c r="AB184" s="5">
        <f t="shared" si="30"/>
        <v>0.96</v>
      </c>
      <c r="AC184" s="5">
        <f t="shared" si="30"/>
        <v>0.8</v>
      </c>
      <c r="AD184" s="5">
        <f t="shared" si="30"/>
        <v>0.77</v>
      </c>
      <c r="AE184" s="5">
        <f t="shared" si="30"/>
        <v>0.66</v>
      </c>
      <c r="AF184" s="5">
        <f t="shared" si="30"/>
        <v>0.59</v>
      </c>
      <c r="AG184" s="5">
        <f t="shared" si="30"/>
        <v>0.54</v>
      </c>
      <c r="AH184" s="5">
        <f t="shared" si="27"/>
        <v>0.36</v>
      </c>
      <c r="AI184" s="5">
        <f t="shared" si="27"/>
        <v>0.25</v>
      </c>
      <c r="AJ184" s="5">
        <f t="shared" si="27"/>
        <v>0.2</v>
      </c>
    </row>
    <row r="185" spans="1:36">
      <c r="A185" t="str">
        <f>"casthouse_procurement_archetype_"&amp;TEXT(ROUND(Table21319[[#This Row],[2016]],1),"0.0")</f>
        <v>casthouse_procurement_archetype_12.0</v>
      </c>
      <c r="B185" s="5">
        <f t="shared" si="24"/>
        <v>12</v>
      </c>
      <c r="C185" s="5">
        <f t="shared" si="31"/>
        <v>12</v>
      </c>
      <c r="D185" s="5">
        <f t="shared" si="31"/>
        <v>12</v>
      </c>
      <c r="E185" s="5">
        <f t="shared" si="31"/>
        <v>11.71</v>
      </c>
      <c r="F185" s="5">
        <f t="shared" si="31"/>
        <v>11.01</v>
      </c>
      <c r="G185" s="5">
        <f t="shared" si="31"/>
        <v>11.11</v>
      </c>
      <c r="H185" s="5">
        <f t="shared" si="31"/>
        <v>10.8</v>
      </c>
      <c r="I185" s="5">
        <f t="shared" si="31"/>
        <v>10.21</v>
      </c>
      <c r="J185" s="5">
        <f t="shared" si="31"/>
        <v>9.88</v>
      </c>
      <c r="K185" s="5">
        <f t="shared" si="31"/>
        <v>9.54</v>
      </c>
      <c r="L185" s="5">
        <f t="shared" si="31"/>
        <v>9.01</v>
      </c>
      <c r="M185" s="5">
        <f t="shared" si="31"/>
        <v>8.94</v>
      </c>
      <c r="N185" s="5">
        <f t="shared" si="31"/>
        <v>8.5</v>
      </c>
      <c r="O185" s="5">
        <f t="shared" si="31"/>
        <v>8.04</v>
      </c>
      <c r="P185" s="5">
        <f t="shared" si="31"/>
        <v>7.51</v>
      </c>
      <c r="Q185" s="5">
        <f t="shared" si="31"/>
        <v>6.46</v>
      </c>
      <c r="R185" s="5">
        <f t="shared" si="31"/>
        <v>5.04</v>
      </c>
      <c r="S185" s="5">
        <f t="shared" si="30"/>
        <v>4.59</v>
      </c>
      <c r="T185" s="5">
        <f t="shared" si="30"/>
        <v>3.61</v>
      </c>
      <c r="U185" s="5">
        <f t="shared" si="30"/>
        <v>2.63</v>
      </c>
      <c r="V185" s="5">
        <f t="shared" si="30"/>
        <v>2.44</v>
      </c>
      <c r="W185" s="5">
        <f t="shared" si="30"/>
        <v>1.89</v>
      </c>
      <c r="X185" s="5">
        <f t="shared" si="30"/>
        <v>1.61</v>
      </c>
      <c r="Y185" s="5">
        <f t="shared" si="30"/>
        <v>1.32</v>
      </c>
      <c r="Z185" s="5">
        <f t="shared" si="30"/>
        <v>1.28</v>
      </c>
      <c r="AA185" s="5">
        <f t="shared" si="30"/>
        <v>1.14</v>
      </c>
      <c r="AB185" s="5">
        <f t="shared" si="30"/>
        <v>0.95</v>
      </c>
      <c r="AC185" s="5">
        <f t="shared" si="30"/>
        <v>0.79</v>
      </c>
      <c r="AD185" s="5">
        <f t="shared" si="30"/>
        <v>0.76</v>
      </c>
      <c r="AE185" s="5">
        <f t="shared" si="30"/>
        <v>0.66</v>
      </c>
      <c r="AF185" s="5">
        <f t="shared" si="30"/>
        <v>0.59</v>
      </c>
      <c r="AG185" s="5">
        <f t="shared" si="30"/>
        <v>0.54</v>
      </c>
      <c r="AH185" s="5">
        <f t="shared" si="27"/>
        <v>0.36</v>
      </c>
      <c r="AI185" s="5">
        <f t="shared" si="27"/>
        <v>0.25</v>
      </c>
      <c r="AJ185" s="5">
        <f t="shared" si="27"/>
        <v>0.2</v>
      </c>
    </row>
    <row r="186" spans="1:36">
      <c r="A186" t="str">
        <f>"casthouse_procurement_archetype_"&amp;TEXT(ROUND(Table21319[[#This Row],[2016]],1),"0.0")</f>
        <v>casthouse_procurement_archetype_11.9</v>
      </c>
      <c r="B186" s="5">
        <f t="shared" si="24"/>
        <v>11.9</v>
      </c>
      <c r="C186" s="5">
        <f t="shared" si="31"/>
        <v>11.9</v>
      </c>
      <c r="D186" s="5">
        <f t="shared" si="31"/>
        <v>11.9</v>
      </c>
      <c r="E186" s="5">
        <f t="shared" si="31"/>
        <v>11.61</v>
      </c>
      <c r="F186" s="5">
        <f t="shared" si="31"/>
        <v>10.92</v>
      </c>
      <c r="G186" s="5">
        <f t="shared" si="31"/>
        <v>11.01</v>
      </c>
      <c r="H186" s="5">
        <f t="shared" si="31"/>
        <v>10.71</v>
      </c>
      <c r="I186" s="5">
        <f t="shared" si="31"/>
        <v>10.13</v>
      </c>
      <c r="J186" s="5">
        <f t="shared" si="31"/>
        <v>9.8</v>
      </c>
      <c r="K186" s="5">
        <f t="shared" si="31"/>
        <v>9.46</v>
      </c>
      <c r="L186" s="5">
        <f t="shared" si="31"/>
        <v>8.93</v>
      </c>
      <c r="M186" s="5">
        <f t="shared" si="31"/>
        <v>8.87</v>
      </c>
      <c r="N186" s="5">
        <f t="shared" si="31"/>
        <v>8.43</v>
      </c>
      <c r="O186" s="5">
        <f t="shared" si="31"/>
        <v>7.98</v>
      </c>
      <c r="P186" s="5">
        <f t="shared" si="31"/>
        <v>7.44</v>
      </c>
      <c r="Q186" s="5">
        <f t="shared" si="31"/>
        <v>6.4</v>
      </c>
      <c r="R186" s="5">
        <f t="shared" si="31"/>
        <v>5</v>
      </c>
      <c r="S186" s="5">
        <f t="shared" si="30"/>
        <v>4.56</v>
      </c>
      <c r="T186" s="5">
        <f t="shared" si="30"/>
        <v>3.58</v>
      </c>
      <c r="U186" s="5">
        <f t="shared" si="30"/>
        <v>2.61</v>
      </c>
      <c r="V186" s="5">
        <f t="shared" si="30"/>
        <v>2.42</v>
      </c>
      <c r="W186" s="5">
        <f t="shared" si="30"/>
        <v>1.88</v>
      </c>
      <c r="X186" s="5">
        <f t="shared" si="30"/>
        <v>1.6</v>
      </c>
      <c r="Y186" s="5">
        <f t="shared" si="30"/>
        <v>1.31</v>
      </c>
      <c r="Z186" s="5">
        <f t="shared" si="30"/>
        <v>1.27</v>
      </c>
      <c r="AA186" s="5">
        <f t="shared" si="30"/>
        <v>1.13</v>
      </c>
      <c r="AB186" s="5">
        <f t="shared" si="30"/>
        <v>0.94</v>
      </c>
      <c r="AC186" s="5">
        <f t="shared" si="30"/>
        <v>0.79</v>
      </c>
      <c r="AD186" s="5">
        <f t="shared" si="30"/>
        <v>0.76</v>
      </c>
      <c r="AE186" s="5">
        <f t="shared" si="30"/>
        <v>0.65</v>
      </c>
      <c r="AF186" s="5">
        <f t="shared" si="30"/>
        <v>0.59</v>
      </c>
      <c r="AG186" s="5">
        <f t="shared" si="30"/>
        <v>0.54</v>
      </c>
      <c r="AH186" s="5">
        <f t="shared" si="27"/>
        <v>0.35</v>
      </c>
      <c r="AI186" s="5">
        <f t="shared" si="27"/>
        <v>0.25</v>
      </c>
      <c r="AJ186" s="5">
        <f t="shared" si="27"/>
        <v>0.2</v>
      </c>
    </row>
    <row r="187" spans="1:36">
      <c r="A187" t="str">
        <f>"casthouse_procurement_archetype_"&amp;TEXT(ROUND(Table21319[[#This Row],[2016]],1),"0.0")</f>
        <v>casthouse_procurement_archetype_11.8</v>
      </c>
      <c r="B187" s="5">
        <f t="shared" si="24"/>
        <v>11.8</v>
      </c>
      <c r="C187" s="5">
        <f t="shared" si="31"/>
        <v>11.8</v>
      </c>
      <c r="D187" s="5">
        <f t="shared" si="31"/>
        <v>11.8</v>
      </c>
      <c r="E187" s="5">
        <f t="shared" si="31"/>
        <v>11.51</v>
      </c>
      <c r="F187" s="5">
        <f t="shared" si="31"/>
        <v>10.82</v>
      </c>
      <c r="G187" s="5">
        <f t="shared" si="31"/>
        <v>10.92</v>
      </c>
      <c r="H187" s="5">
        <f t="shared" si="31"/>
        <v>10.62</v>
      </c>
      <c r="I187" s="5">
        <f t="shared" si="31"/>
        <v>10.04</v>
      </c>
      <c r="J187" s="5">
        <f t="shared" si="31"/>
        <v>9.72</v>
      </c>
      <c r="K187" s="5">
        <f t="shared" si="31"/>
        <v>9.38</v>
      </c>
      <c r="L187" s="5">
        <f t="shared" si="31"/>
        <v>8.86</v>
      </c>
      <c r="M187" s="5">
        <f t="shared" si="31"/>
        <v>8.79</v>
      </c>
      <c r="N187" s="5">
        <f t="shared" si="31"/>
        <v>8.36</v>
      </c>
      <c r="O187" s="5">
        <f t="shared" si="31"/>
        <v>7.91</v>
      </c>
      <c r="P187" s="5">
        <f t="shared" si="31"/>
        <v>7.38</v>
      </c>
      <c r="Q187" s="5">
        <f t="shared" si="31"/>
        <v>6.35</v>
      </c>
      <c r="R187" s="5">
        <f t="shared" si="31"/>
        <v>4.96</v>
      </c>
      <c r="S187" s="5">
        <f t="shared" si="30"/>
        <v>4.52</v>
      </c>
      <c r="T187" s="5">
        <f t="shared" si="30"/>
        <v>3.56</v>
      </c>
      <c r="U187" s="5">
        <f t="shared" si="30"/>
        <v>2.59</v>
      </c>
      <c r="V187" s="5">
        <f t="shared" si="30"/>
        <v>2.41</v>
      </c>
      <c r="W187" s="5">
        <f t="shared" si="30"/>
        <v>1.86</v>
      </c>
      <c r="X187" s="5">
        <f t="shared" si="30"/>
        <v>1.59</v>
      </c>
      <c r="Y187" s="5">
        <f t="shared" si="30"/>
        <v>1.3</v>
      </c>
      <c r="Z187" s="5">
        <f t="shared" si="30"/>
        <v>1.26</v>
      </c>
      <c r="AA187" s="5">
        <f t="shared" si="30"/>
        <v>1.13</v>
      </c>
      <c r="AB187" s="5">
        <f t="shared" si="30"/>
        <v>0.94</v>
      </c>
      <c r="AC187" s="5">
        <f t="shared" si="30"/>
        <v>0.78</v>
      </c>
      <c r="AD187" s="5">
        <f t="shared" si="30"/>
        <v>0.75</v>
      </c>
      <c r="AE187" s="5">
        <f t="shared" si="30"/>
        <v>0.65</v>
      </c>
      <c r="AF187" s="5">
        <f t="shared" si="30"/>
        <v>0.58</v>
      </c>
      <c r="AG187" s="5">
        <f t="shared" si="30"/>
        <v>0.54</v>
      </c>
      <c r="AH187" s="5">
        <f t="shared" si="27"/>
        <v>0.35</v>
      </c>
      <c r="AI187" s="5">
        <f t="shared" si="27"/>
        <v>0.25</v>
      </c>
      <c r="AJ187" s="5">
        <f t="shared" si="27"/>
        <v>0.2</v>
      </c>
    </row>
    <row r="188" spans="1:36">
      <c r="A188" t="str">
        <f>"casthouse_procurement_archetype_"&amp;TEXT(ROUND(Table21319[[#This Row],[2016]],1),"0.0")</f>
        <v>casthouse_procurement_archetype_11.7</v>
      </c>
      <c r="B188" s="5">
        <f t="shared" si="24"/>
        <v>11.7</v>
      </c>
      <c r="C188" s="5">
        <f t="shared" si="31"/>
        <v>11.7</v>
      </c>
      <c r="D188" s="5">
        <f t="shared" si="31"/>
        <v>11.7</v>
      </c>
      <c r="E188" s="5">
        <f t="shared" si="31"/>
        <v>11.42</v>
      </c>
      <c r="F188" s="5">
        <f t="shared" si="31"/>
        <v>10.73</v>
      </c>
      <c r="G188" s="5">
        <f t="shared" si="31"/>
        <v>10.83</v>
      </c>
      <c r="H188" s="5">
        <f t="shared" si="31"/>
        <v>10.53</v>
      </c>
      <c r="I188" s="5">
        <f t="shared" si="31"/>
        <v>9.96</v>
      </c>
      <c r="J188" s="5">
        <f t="shared" si="31"/>
        <v>9.64</v>
      </c>
      <c r="K188" s="5">
        <f t="shared" si="31"/>
        <v>9.3</v>
      </c>
      <c r="L188" s="5">
        <f t="shared" si="31"/>
        <v>8.78</v>
      </c>
      <c r="M188" s="5">
        <f t="shared" si="31"/>
        <v>8.72</v>
      </c>
      <c r="N188" s="5">
        <f t="shared" si="31"/>
        <v>8.29</v>
      </c>
      <c r="O188" s="5">
        <f t="shared" si="31"/>
        <v>7.84</v>
      </c>
      <c r="P188" s="5">
        <f t="shared" si="31"/>
        <v>7.32</v>
      </c>
      <c r="Q188" s="5">
        <f t="shared" si="31"/>
        <v>6.3</v>
      </c>
      <c r="R188" s="5">
        <f t="shared" ref="R188:AG203" si="32">MROUND((($B188-$AJ$2)*((R$2-$AJ$2)/($B$2-$AJ$2)))+$AJ$2,0.01)</f>
        <v>4.92</v>
      </c>
      <c r="S188" s="5">
        <f t="shared" si="32"/>
        <v>4.48</v>
      </c>
      <c r="T188" s="5">
        <f t="shared" si="32"/>
        <v>3.53</v>
      </c>
      <c r="U188" s="5">
        <f t="shared" si="32"/>
        <v>2.56</v>
      </c>
      <c r="V188" s="5">
        <f t="shared" si="32"/>
        <v>2.39</v>
      </c>
      <c r="W188" s="5">
        <f t="shared" si="32"/>
        <v>1.85</v>
      </c>
      <c r="X188" s="5">
        <f t="shared" si="32"/>
        <v>1.58</v>
      </c>
      <c r="Y188" s="5">
        <f t="shared" si="32"/>
        <v>1.29</v>
      </c>
      <c r="Z188" s="5">
        <f t="shared" si="32"/>
        <v>1.25</v>
      </c>
      <c r="AA188" s="5">
        <f t="shared" si="32"/>
        <v>1.12</v>
      </c>
      <c r="AB188" s="5">
        <f t="shared" si="32"/>
        <v>0.93</v>
      </c>
      <c r="AC188" s="5">
        <f t="shared" si="32"/>
        <v>0.78</v>
      </c>
      <c r="AD188" s="5">
        <f t="shared" si="32"/>
        <v>0.75</v>
      </c>
      <c r="AE188" s="5">
        <f t="shared" si="32"/>
        <v>0.65</v>
      </c>
      <c r="AF188" s="5">
        <f t="shared" si="32"/>
        <v>0.58</v>
      </c>
      <c r="AG188" s="5">
        <f t="shared" si="32"/>
        <v>0.53</v>
      </c>
      <c r="AH188" s="5">
        <f t="shared" si="27"/>
        <v>0.35</v>
      </c>
      <c r="AI188" s="5">
        <f t="shared" si="27"/>
        <v>0.25</v>
      </c>
      <c r="AJ188" s="5">
        <f t="shared" si="27"/>
        <v>0.2</v>
      </c>
    </row>
    <row r="189" spans="1:36">
      <c r="A189" t="str">
        <f>"casthouse_procurement_archetype_"&amp;TEXT(ROUND(Table21319[[#This Row],[2016]],1),"0.0")</f>
        <v>casthouse_procurement_archetype_11.6</v>
      </c>
      <c r="B189" s="5">
        <f t="shared" si="24"/>
        <v>11.6</v>
      </c>
      <c r="C189" s="5">
        <f t="shared" ref="C189:R204" si="33">MROUND((($B189-$AJ$2)*((C$2-$AJ$2)/($B$2-$AJ$2)))+$AJ$2,0.01)</f>
        <v>11.6</v>
      </c>
      <c r="D189" s="5">
        <f t="shared" si="33"/>
        <v>11.6</v>
      </c>
      <c r="E189" s="5">
        <f t="shared" si="33"/>
        <v>11.32</v>
      </c>
      <c r="F189" s="5">
        <f t="shared" si="33"/>
        <v>10.64</v>
      </c>
      <c r="G189" s="5">
        <f t="shared" si="33"/>
        <v>10.74</v>
      </c>
      <c r="H189" s="5">
        <f t="shared" si="33"/>
        <v>10.44</v>
      </c>
      <c r="I189" s="5">
        <f t="shared" si="33"/>
        <v>9.87</v>
      </c>
      <c r="J189" s="5">
        <f t="shared" si="33"/>
        <v>9.55</v>
      </c>
      <c r="K189" s="5">
        <f t="shared" si="33"/>
        <v>9.23</v>
      </c>
      <c r="L189" s="5">
        <f t="shared" si="33"/>
        <v>8.71</v>
      </c>
      <c r="M189" s="5">
        <f t="shared" si="33"/>
        <v>8.64</v>
      </c>
      <c r="N189" s="5">
        <f t="shared" si="33"/>
        <v>8.22</v>
      </c>
      <c r="O189" s="5">
        <f t="shared" si="33"/>
        <v>7.78</v>
      </c>
      <c r="P189" s="5">
        <f t="shared" si="33"/>
        <v>7.26</v>
      </c>
      <c r="Q189" s="5">
        <f t="shared" si="33"/>
        <v>6.25</v>
      </c>
      <c r="R189" s="5">
        <f t="shared" si="33"/>
        <v>4.88</v>
      </c>
      <c r="S189" s="5">
        <f t="shared" si="32"/>
        <v>4.44</v>
      </c>
      <c r="T189" s="5">
        <f t="shared" si="32"/>
        <v>3.5</v>
      </c>
      <c r="U189" s="5">
        <f t="shared" si="32"/>
        <v>2.54</v>
      </c>
      <c r="V189" s="5">
        <f t="shared" si="32"/>
        <v>2.37</v>
      </c>
      <c r="W189" s="5">
        <f t="shared" si="32"/>
        <v>1.83</v>
      </c>
      <c r="X189" s="5">
        <f t="shared" si="32"/>
        <v>1.56</v>
      </c>
      <c r="Y189" s="5">
        <f t="shared" si="32"/>
        <v>1.28</v>
      </c>
      <c r="Z189" s="5">
        <f t="shared" si="32"/>
        <v>1.24</v>
      </c>
      <c r="AA189" s="5">
        <f t="shared" si="32"/>
        <v>1.11</v>
      </c>
      <c r="AB189" s="5">
        <f t="shared" si="32"/>
        <v>0.92</v>
      </c>
      <c r="AC189" s="5">
        <f t="shared" si="32"/>
        <v>0.77</v>
      </c>
      <c r="AD189" s="5">
        <f t="shared" si="32"/>
        <v>0.75</v>
      </c>
      <c r="AE189" s="5">
        <f t="shared" si="32"/>
        <v>0.64</v>
      </c>
      <c r="AF189" s="5">
        <f t="shared" si="32"/>
        <v>0.58</v>
      </c>
      <c r="AG189" s="5">
        <f t="shared" si="32"/>
        <v>0.53</v>
      </c>
      <c r="AH189" s="5">
        <f t="shared" si="27"/>
        <v>0.35</v>
      </c>
      <c r="AI189" s="5">
        <f t="shared" si="27"/>
        <v>0.25</v>
      </c>
      <c r="AJ189" s="5">
        <f t="shared" si="27"/>
        <v>0.2</v>
      </c>
    </row>
    <row r="190" spans="1:36">
      <c r="A190" t="str">
        <f>"casthouse_procurement_archetype_"&amp;TEXT(ROUND(Table21319[[#This Row],[2016]],1),"0.0")</f>
        <v>casthouse_procurement_archetype_11.5</v>
      </c>
      <c r="B190" s="5">
        <f t="shared" si="24"/>
        <v>11.5</v>
      </c>
      <c r="C190" s="5">
        <f t="shared" si="33"/>
        <v>11.5</v>
      </c>
      <c r="D190" s="5">
        <f t="shared" si="33"/>
        <v>11.5</v>
      </c>
      <c r="E190" s="5">
        <f t="shared" si="33"/>
        <v>11.22</v>
      </c>
      <c r="F190" s="5">
        <f t="shared" si="33"/>
        <v>10.55</v>
      </c>
      <c r="G190" s="5">
        <f t="shared" si="33"/>
        <v>10.64</v>
      </c>
      <c r="H190" s="5">
        <f t="shared" si="33"/>
        <v>10.35</v>
      </c>
      <c r="I190" s="5">
        <f t="shared" si="33"/>
        <v>9.79</v>
      </c>
      <c r="J190" s="5">
        <f t="shared" si="33"/>
        <v>9.47</v>
      </c>
      <c r="K190" s="5">
        <f t="shared" si="33"/>
        <v>9.15</v>
      </c>
      <c r="L190" s="5">
        <f t="shared" si="33"/>
        <v>8.63</v>
      </c>
      <c r="M190" s="5">
        <f t="shared" si="33"/>
        <v>8.57</v>
      </c>
      <c r="N190" s="5">
        <f t="shared" si="33"/>
        <v>8.15</v>
      </c>
      <c r="O190" s="5">
        <f t="shared" si="33"/>
        <v>7.71</v>
      </c>
      <c r="P190" s="5">
        <f t="shared" si="33"/>
        <v>7.2</v>
      </c>
      <c r="Q190" s="5">
        <f t="shared" si="33"/>
        <v>6.19</v>
      </c>
      <c r="R190" s="5">
        <f t="shared" si="33"/>
        <v>4.84</v>
      </c>
      <c r="S190" s="5">
        <f t="shared" si="32"/>
        <v>4.41</v>
      </c>
      <c r="T190" s="5">
        <f t="shared" si="32"/>
        <v>3.47</v>
      </c>
      <c r="U190" s="5">
        <f t="shared" si="32"/>
        <v>2.52</v>
      </c>
      <c r="V190" s="5">
        <f t="shared" si="32"/>
        <v>2.35</v>
      </c>
      <c r="W190" s="5">
        <f t="shared" si="32"/>
        <v>1.82</v>
      </c>
      <c r="X190" s="5">
        <f t="shared" si="32"/>
        <v>1.55</v>
      </c>
      <c r="Y190" s="5">
        <f t="shared" si="32"/>
        <v>1.27</v>
      </c>
      <c r="Z190" s="5">
        <f t="shared" si="32"/>
        <v>1.23</v>
      </c>
      <c r="AA190" s="5">
        <f t="shared" si="32"/>
        <v>1.1</v>
      </c>
      <c r="AB190" s="5">
        <f t="shared" si="32"/>
        <v>0.92</v>
      </c>
      <c r="AC190" s="5">
        <f t="shared" si="32"/>
        <v>0.77</v>
      </c>
      <c r="AD190" s="5">
        <f t="shared" si="32"/>
        <v>0.74</v>
      </c>
      <c r="AE190" s="5">
        <f t="shared" si="32"/>
        <v>0.64</v>
      </c>
      <c r="AF190" s="5">
        <f t="shared" si="32"/>
        <v>0.57</v>
      </c>
      <c r="AG190" s="5">
        <f t="shared" si="32"/>
        <v>0.53</v>
      </c>
      <c r="AH190" s="5">
        <f t="shared" si="27"/>
        <v>0.35</v>
      </c>
      <c r="AI190" s="5">
        <f t="shared" si="27"/>
        <v>0.25</v>
      </c>
      <c r="AJ190" s="5">
        <f t="shared" si="27"/>
        <v>0.2</v>
      </c>
    </row>
    <row r="191" spans="1:36">
      <c r="A191" t="str">
        <f>"casthouse_procurement_archetype_"&amp;TEXT(ROUND(Table21319[[#This Row],[2016]],1),"0.0")</f>
        <v>casthouse_procurement_archetype_11.4</v>
      </c>
      <c r="B191" s="5">
        <f t="shared" si="24"/>
        <v>11.4</v>
      </c>
      <c r="C191" s="5">
        <f t="shared" si="33"/>
        <v>11.4</v>
      </c>
      <c r="D191" s="5">
        <f t="shared" si="33"/>
        <v>11.4</v>
      </c>
      <c r="E191" s="5">
        <f t="shared" si="33"/>
        <v>11.12</v>
      </c>
      <c r="F191" s="5">
        <f t="shared" si="33"/>
        <v>10.46</v>
      </c>
      <c r="G191" s="5">
        <f t="shared" si="33"/>
        <v>10.55</v>
      </c>
      <c r="H191" s="5">
        <f t="shared" si="33"/>
        <v>10.26</v>
      </c>
      <c r="I191" s="5">
        <f t="shared" si="33"/>
        <v>9.7</v>
      </c>
      <c r="J191" s="5">
        <f t="shared" si="33"/>
        <v>9.39</v>
      </c>
      <c r="K191" s="5">
        <f t="shared" si="33"/>
        <v>9.07</v>
      </c>
      <c r="L191" s="5">
        <f t="shared" si="33"/>
        <v>8.56</v>
      </c>
      <c r="M191" s="5">
        <f t="shared" si="33"/>
        <v>8.5</v>
      </c>
      <c r="N191" s="5">
        <f t="shared" si="33"/>
        <v>8.08</v>
      </c>
      <c r="O191" s="5">
        <f t="shared" si="33"/>
        <v>7.65</v>
      </c>
      <c r="P191" s="5">
        <f t="shared" si="33"/>
        <v>7.13</v>
      </c>
      <c r="Q191" s="5">
        <f t="shared" si="33"/>
        <v>6.14</v>
      </c>
      <c r="R191" s="5">
        <f t="shared" si="33"/>
        <v>4.8</v>
      </c>
      <c r="S191" s="5">
        <f t="shared" si="32"/>
        <v>4.37</v>
      </c>
      <c r="T191" s="5">
        <f t="shared" si="32"/>
        <v>3.44</v>
      </c>
      <c r="U191" s="5">
        <f t="shared" si="32"/>
        <v>2.5</v>
      </c>
      <c r="V191" s="5">
        <f t="shared" si="32"/>
        <v>2.33</v>
      </c>
      <c r="W191" s="5">
        <f t="shared" si="32"/>
        <v>1.81</v>
      </c>
      <c r="X191" s="5">
        <f t="shared" si="32"/>
        <v>1.54</v>
      </c>
      <c r="Y191" s="5">
        <f t="shared" si="32"/>
        <v>1.26</v>
      </c>
      <c r="Z191" s="5">
        <f t="shared" si="32"/>
        <v>1.22</v>
      </c>
      <c r="AA191" s="5">
        <f t="shared" si="32"/>
        <v>1.09</v>
      </c>
      <c r="AB191" s="5">
        <f t="shared" si="32"/>
        <v>0.91</v>
      </c>
      <c r="AC191" s="5">
        <f t="shared" si="32"/>
        <v>0.76</v>
      </c>
      <c r="AD191" s="5">
        <f t="shared" si="32"/>
        <v>0.74</v>
      </c>
      <c r="AE191" s="5">
        <f t="shared" si="32"/>
        <v>0.63</v>
      </c>
      <c r="AF191" s="5">
        <f t="shared" si="32"/>
        <v>0.57</v>
      </c>
      <c r="AG191" s="5">
        <f t="shared" si="32"/>
        <v>0.52</v>
      </c>
      <c r="AH191" s="5">
        <f t="shared" si="27"/>
        <v>0.35</v>
      </c>
      <c r="AI191" s="5">
        <f t="shared" si="27"/>
        <v>0.25</v>
      </c>
      <c r="AJ191" s="5">
        <f t="shared" si="27"/>
        <v>0.2</v>
      </c>
    </row>
    <row r="192" spans="1:36">
      <c r="A192" t="str">
        <f>"casthouse_procurement_archetype_"&amp;TEXT(ROUND(Table21319[[#This Row],[2016]],1),"0.0")</f>
        <v>casthouse_procurement_archetype_11.3</v>
      </c>
      <c r="B192" s="5">
        <f t="shared" si="24"/>
        <v>11.3</v>
      </c>
      <c r="C192" s="5">
        <f t="shared" si="33"/>
        <v>11.3</v>
      </c>
      <c r="D192" s="5">
        <f t="shared" si="33"/>
        <v>11.3</v>
      </c>
      <c r="E192" s="5">
        <f t="shared" si="33"/>
        <v>11.03</v>
      </c>
      <c r="F192" s="5">
        <f t="shared" si="33"/>
        <v>10.37</v>
      </c>
      <c r="G192" s="5">
        <f t="shared" si="33"/>
        <v>10.46</v>
      </c>
      <c r="H192" s="5">
        <f t="shared" si="33"/>
        <v>10.17</v>
      </c>
      <c r="I192" s="5">
        <f t="shared" si="33"/>
        <v>9.62</v>
      </c>
      <c r="J192" s="5">
        <f t="shared" si="33"/>
        <v>9.31</v>
      </c>
      <c r="K192" s="5">
        <f t="shared" si="33"/>
        <v>8.99</v>
      </c>
      <c r="L192" s="5">
        <f t="shared" si="33"/>
        <v>8.48</v>
      </c>
      <c r="M192" s="5">
        <f t="shared" si="33"/>
        <v>8.42</v>
      </c>
      <c r="N192" s="5">
        <f t="shared" si="33"/>
        <v>8.01</v>
      </c>
      <c r="O192" s="5">
        <f t="shared" si="33"/>
        <v>7.58</v>
      </c>
      <c r="P192" s="5">
        <f t="shared" si="33"/>
        <v>7.07</v>
      </c>
      <c r="Q192" s="5">
        <f t="shared" si="33"/>
        <v>6.09</v>
      </c>
      <c r="R192" s="5">
        <f t="shared" si="33"/>
        <v>4.76</v>
      </c>
      <c r="S192" s="5">
        <f t="shared" si="32"/>
        <v>4.33</v>
      </c>
      <c r="T192" s="5">
        <f t="shared" si="32"/>
        <v>3.41</v>
      </c>
      <c r="U192" s="5">
        <f t="shared" si="32"/>
        <v>2.48</v>
      </c>
      <c r="V192" s="5">
        <f t="shared" si="32"/>
        <v>2.31</v>
      </c>
      <c r="W192" s="5">
        <f t="shared" si="32"/>
        <v>1.79</v>
      </c>
      <c r="X192" s="5">
        <f t="shared" si="32"/>
        <v>1.53</v>
      </c>
      <c r="Y192" s="5">
        <f t="shared" si="32"/>
        <v>1.25</v>
      </c>
      <c r="Z192" s="5">
        <f t="shared" si="32"/>
        <v>1.21</v>
      </c>
      <c r="AA192" s="5">
        <f t="shared" si="32"/>
        <v>1.09</v>
      </c>
      <c r="AB192" s="5">
        <f t="shared" si="32"/>
        <v>0.9</v>
      </c>
      <c r="AC192" s="5">
        <f t="shared" si="32"/>
        <v>0.76</v>
      </c>
      <c r="AD192" s="5">
        <f t="shared" si="32"/>
        <v>0.73</v>
      </c>
      <c r="AE192" s="5">
        <f t="shared" si="32"/>
        <v>0.63</v>
      </c>
      <c r="AF192" s="5">
        <f t="shared" si="32"/>
        <v>0.57</v>
      </c>
      <c r="AG192" s="5">
        <f t="shared" si="32"/>
        <v>0.52</v>
      </c>
      <c r="AH192" s="5">
        <f t="shared" si="27"/>
        <v>0.35</v>
      </c>
      <c r="AI192" s="5">
        <f t="shared" si="27"/>
        <v>0.25</v>
      </c>
      <c r="AJ192" s="5">
        <f t="shared" si="27"/>
        <v>0.2</v>
      </c>
    </row>
    <row r="193" spans="1:36">
      <c r="A193" t="str">
        <f>"casthouse_procurement_archetype_"&amp;TEXT(ROUND(Table21319[[#This Row],[2016]],1),"0.0")</f>
        <v>casthouse_procurement_archetype_11.2</v>
      </c>
      <c r="B193" s="5">
        <f t="shared" si="24"/>
        <v>11.2</v>
      </c>
      <c r="C193" s="5">
        <f t="shared" si="33"/>
        <v>11.2</v>
      </c>
      <c r="D193" s="5">
        <f t="shared" si="33"/>
        <v>11.2</v>
      </c>
      <c r="E193" s="5">
        <f t="shared" si="33"/>
        <v>10.93</v>
      </c>
      <c r="F193" s="5">
        <f t="shared" si="33"/>
        <v>10.28</v>
      </c>
      <c r="G193" s="5">
        <f t="shared" si="33"/>
        <v>10.37</v>
      </c>
      <c r="H193" s="5">
        <f t="shared" si="33"/>
        <v>10.08</v>
      </c>
      <c r="I193" s="5">
        <f t="shared" si="33"/>
        <v>9.53</v>
      </c>
      <c r="J193" s="5">
        <f t="shared" si="33"/>
        <v>9.23</v>
      </c>
      <c r="K193" s="5">
        <f t="shared" si="33"/>
        <v>8.91</v>
      </c>
      <c r="L193" s="5">
        <f t="shared" si="33"/>
        <v>8.41</v>
      </c>
      <c r="M193" s="5">
        <f t="shared" si="33"/>
        <v>8.35</v>
      </c>
      <c r="N193" s="5">
        <f t="shared" si="33"/>
        <v>7.94</v>
      </c>
      <c r="O193" s="5">
        <f t="shared" si="33"/>
        <v>7.51</v>
      </c>
      <c r="P193" s="5">
        <f t="shared" si="33"/>
        <v>7.01</v>
      </c>
      <c r="Q193" s="5">
        <f t="shared" si="33"/>
        <v>6.03</v>
      </c>
      <c r="R193" s="5">
        <f t="shared" si="33"/>
        <v>4.72</v>
      </c>
      <c r="S193" s="5">
        <f t="shared" si="32"/>
        <v>4.3</v>
      </c>
      <c r="T193" s="5">
        <f t="shared" si="32"/>
        <v>3.38</v>
      </c>
      <c r="U193" s="5">
        <f t="shared" si="32"/>
        <v>2.46</v>
      </c>
      <c r="V193" s="5">
        <f t="shared" si="32"/>
        <v>2.29</v>
      </c>
      <c r="W193" s="5">
        <f t="shared" si="32"/>
        <v>1.78</v>
      </c>
      <c r="X193" s="5">
        <f t="shared" si="32"/>
        <v>1.52</v>
      </c>
      <c r="Y193" s="5">
        <f t="shared" si="32"/>
        <v>1.24</v>
      </c>
      <c r="Z193" s="5">
        <f t="shared" si="32"/>
        <v>1.2</v>
      </c>
      <c r="AA193" s="5">
        <f t="shared" si="32"/>
        <v>1.08</v>
      </c>
      <c r="AB193" s="5">
        <f t="shared" si="32"/>
        <v>0.9</v>
      </c>
      <c r="AC193" s="5">
        <f t="shared" si="32"/>
        <v>0.75</v>
      </c>
      <c r="AD193" s="5">
        <f t="shared" si="32"/>
        <v>0.73</v>
      </c>
      <c r="AE193" s="5">
        <f t="shared" si="32"/>
        <v>0.63</v>
      </c>
      <c r="AF193" s="5">
        <f t="shared" si="32"/>
        <v>0.56</v>
      </c>
      <c r="AG193" s="5">
        <f t="shared" si="32"/>
        <v>0.52</v>
      </c>
      <c r="AH193" s="5">
        <f t="shared" si="27"/>
        <v>0.34</v>
      </c>
      <c r="AI193" s="5">
        <f t="shared" si="27"/>
        <v>0.25</v>
      </c>
      <c r="AJ193" s="5">
        <f t="shared" si="27"/>
        <v>0.2</v>
      </c>
    </row>
    <row r="194" spans="1:36">
      <c r="A194" t="str">
        <f>"casthouse_procurement_archetype_"&amp;TEXT(ROUND(Table21319[[#This Row],[2016]],1),"0.0")</f>
        <v>casthouse_procurement_archetype_11.1</v>
      </c>
      <c r="B194" s="5">
        <f t="shared" si="24"/>
        <v>11.1</v>
      </c>
      <c r="C194" s="5">
        <f t="shared" si="33"/>
        <v>11.1</v>
      </c>
      <c r="D194" s="5">
        <f t="shared" si="33"/>
        <v>11.1</v>
      </c>
      <c r="E194" s="5">
        <f t="shared" si="33"/>
        <v>10.83</v>
      </c>
      <c r="F194" s="5">
        <f t="shared" si="33"/>
        <v>10.18</v>
      </c>
      <c r="G194" s="5">
        <f t="shared" si="33"/>
        <v>10.27</v>
      </c>
      <c r="H194" s="5">
        <f t="shared" si="33"/>
        <v>9.99</v>
      </c>
      <c r="I194" s="5">
        <f t="shared" si="33"/>
        <v>9.45</v>
      </c>
      <c r="J194" s="5">
        <f t="shared" si="33"/>
        <v>9.14</v>
      </c>
      <c r="K194" s="5">
        <f t="shared" si="33"/>
        <v>8.83</v>
      </c>
      <c r="L194" s="5">
        <f t="shared" si="33"/>
        <v>8.33</v>
      </c>
      <c r="M194" s="5">
        <f t="shared" si="33"/>
        <v>8.27</v>
      </c>
      <c r="N194" s="5">
        <f t="shared" si="33"/>
        <v>7.87</v>
      </c>
      <c r="O194" s="5">
        <f t="shared" si="33"/>
        <v>7.45</v>
      </c>
      <c r="P194" s="5">
        <f t="shared" si="33"/>
        <v>6.95</v>
      </c>
      <c r="Q194" s="5">
        <f t="shared" si="33"/>
        <v>5.98</v>
      </c>
      <c r="R194" s="5">
        <f t="shared" si="33"/>
        <v>4.67</v>
      </c>
      <c r="S194" s="5">
        <f t="shared" si="32"/>
        <v>4.26</v>
      </c>
      <c r="T194" s="5">
        <f t="shared" si="32"/>
        <v>3.35</v>
      </c>
      <c r="U194" s="5">
        <f t="shared" si="32"/>
        <v>2.44</v>
      </c>
      <c r="V194" s="5">
        <f t="shared" si="32"/>
        <v>2.27</v>
      </c>
      <c r="W194" s="5">
        <f t="shared" si="32"/>
        <v>1.76</v>
      </c>
      <c r="X194" s="5">
        <f t="shared" si="32"/>
        <v>1.5</v>
      </c>
      <c r="Y194" s="5">
        <f t="shared" si="32"/>
        <v>1.24</v>
      </c>
      <c r="Z194" s="5">
        <f t="shared" si="32"/>
        <v>1.19</v>
      </c>
      <c r="AA194" s="5">
        <f t="shared" si="32"/>
        <v>1.07</v>
      </c>
      <c r="AB194" s="5">
        <f t="shared" si="32"/>
        <v>0.89</v>
      </c>
      <c r="AC194" s="5">
        <f t="shared" si="32"/>
        <v>0.75</v>
      </c>
      <c r="AD194" s="5">
        <f t="shared" si="32"/>
        <v>0.72</v>
      </c>
      <c r="AE194" s="5">
        <f t="shared" si="32"/>
        <v>0.62</v>
      </c>
      <c r="AF194" s="5">
        <f t="shared" si="32"/>
        <v>0.56</v>
      </c>
      <c r="AG194" s="5">
        <f t="shared" si="32"/>
        <v>0.52</v>
      </c>
      <c r="AH194" s="5">
        <f t="shared" si="27"/>
        <v>0.34</v>
      </c>
      <c r="AI194" s="5">
        <f t="shared" si="27"/>
        <v>0.25</v>
      </c>
      <c r="AJ194" s="5">
        <f t="shared" si="27"/>
        <v>0.2</v>
      </c>
    </row>
    <row r="195" spans="1:36">
      <c r="A195" t="str">
        <f>"casthouse_procurement_archetype_"&amp;TEXT(ROUND(Table21319[[#This Row],[2016]],1),"0.0")</f>
        <v>casthouse_procurement_archetype_11.0</v>
      </c>
      <c r="B195" s="5">
        <f t="shared" si="24"/>
        <v>11</v>
      </c>
      <c r="C195" s="5">
        <f t="shared" si="33"/>
        <v>11</v>
      </c>
      <c r="D195" s="5">
        <f t="shared" si="33"/>
        <v>11</v>
      </c>
      <c r="E195" s="5">
        <f t="shared" si="33"/>
        <v>10.73</v>
      </c>
      <c r="F195" s="5">
        <f t="shared" si="33"/>
        <v>10.09</v>
      </c>
      <c r="G195" s="5">
        <f t="shared" si="33"/>
        <v>10.18</v>
      </c>
      <c r="H195" s="5">
        <f t="shared" si="33"/>
        <v>9.9</v>
      </c>
      <c r="I195" s="5">
        <f t="shared" si="33"/>
        <v>9.36</v>
      </c>
      <c r="J195" s="5">
        <f t="shared" si="33"/>
        <v>9.06</v>
      </c>
      <c r="K195" s="5">
        <f t="shared" si="33"/>
        <v>8.75</v>
      </c>
      <c r="L195" s="5">
        <f t="shared" si="33"/>
        <v>8.26</v>
      </c>
      <c r="M195" s="5">
        <f t="shared" si="33"/>
        <v>8.2</v>
      </c>
      <c r="N195" s="5">
        <f t="shared" si="33"/>
        <v>7.8</v>
      </c>
      <c r="O195" s="5">
        <f t="shared" si="33"/>
        <v>7.38</v>
      </c>
      <c r="P195" s="5">
        <f t="shared" si="33"/>
        <v>6.89</v>
      </c>
      <c r="Q195" s="5">
        <f t="shared" si="33"/>
        <v>5.93</v>
      </c>
      <c r="R195" s="5">
        <f t="shared" si="33"/>
        <v>4.63</v>
      </c>
      <c r="S195" s="5">
        <f t="shared" si="32"/>
        <v>4.22</v>
      </c>
      <c r="T195" s="5">
        <f t="shared" si="32"/>
        <v>3.32</v>
      </c>
      <c r="U195" s="5">
        <f t="shared" si="32"/>
        <v>2.42</v>
      </c>
      <c r="V195" s="5">
        <f t="shared" si="32"/>
        <v>2.25</v>
      </c>
      <c r="W195" s="5">
        <f t="shared" si="32"/>
        <v>1.75</v>
      </c>
      <c r="X195" s="5">
        <f t="shared" si="32"/>
        <v>1.49</v>
      </c>
      <c r="Y195" s="5">
        <f t="shared" si="32"/>
        <v>1.23</v>
      </c>
      <c r="Z195" s="5">
        <f t="shared" si="32"/>
        <v>1.18</v>
      </c>
      <c r="AA195" s="5">
        <f t="shared" si="32"/>
        <v>1.06</v>
      </c>
      <c r="AB195" s="5">
        <f t="shared" si="32"/>
        <v>0.89</v>
      </c>
      <c r="AC195" s="5">
        <f t="shared" si="32"/>
        <v>0.74</v>
      </c>
      <c r="AD195" s="5">
        <f t="shared" si="32"/>
        <v>0.72</v>
      </c>
      <c r="AE195" s="5">
        <f t="shared" si="32"/>
        <v>0.62</v>
      </c>
      <c r="AF195" s="5">
        <f t="shared" si="32"/>
        <v>0.56</v>
      </c>
      <c r="AG195" s="5">
        <f t="shared" si="32"/>
        <v>0.51</v>
      </c>
      <c r="AH195" s="5">
        <f t="shared" si="27"/>
        <v>0.34</v>
      </c>
      <c r="AI195" s="5">
        <f t="shared" si="27"/>
        <v>0.25</v>
      </c>
      <c r="AJ195" s="5">
        <f t="shared" si="27"/>
        <v>0.2</v>
      </c>
    </row>
    <row r="196" spans="1:36">
      <c r="A196" t="str">
        <f>"casthouse_procurement_archetype_"&amp;TEXT(ROUND(Table21319[[#This Row],[2016]],1),"0.0")</f>
        <v>casthouse_procurement_archetype_10.9</v>
      </c>
      <c r="B196" s="5">
        <f t="shared" si="24"/>
        <v>10.9</v>
      </c>
      <c r="C196" s="5">
        <f t="shared" si="33"/>
        <v>10.9</v>
      </c>
      <c r="D196" s="5">
        <f t="shared" si="33"/>
        <v>10.9</v>
      </c>
      <c r="E196" s="5">
        <f t="shared" si="33"/>
        <v>10.64</v>
      </c>
      <c r="F196" s="5">
        <f t="shared" si="33"/>
        <v>10</v>
      </c>
      <c r="G196" s="5">
        <f t="shared" si="33"/>
        <v>10.09</v>
      </c>
      <c r="H196" s="5">
        <f t="shared" si="33"/>
        <v>9.81</v>
      </c>
      <c r="I196" s="5">
        <f t="shared" si="33"/>
        <v>9.28</v>
      </c>
      <c r="J196" s="5">
        <f t="shared" si="33"/>
        <v>8.98</v>
      </c>
      <c r="K196" s="5">
        <f t="shared" si="33"/>
        <v>8.67</v>
      </c>
      <c r="L196" s="5">
        <f t="shared" si="33"/>
        <v>8.18</v>
      </c>
      <c r="M196" s="5">
        <f t="shared" si="33"/>
        <v>8.13</v>
      </c>
      <c r="N196" s="5">
        <f t="shared" si="33"/>
        <v>7.73</v>
      </c>
      <c r="O196" s="5">
        <f t="shared" si="33"/>
        <v>7.31</v>
      </c>
      <c r="P196" s="5">
        <f t="shared" si="33"/>
        <v>6.82</v>
      </c>
      <c r="Q196" s="5">
        <f t="shared" si="33"/>
        <v>5.87</v>
      </c>
      <c r="R196" s="5">
        <f t="shared" si="33"/>
        <v>4.59</v>
      </c>
      <c r="S196" s="5">
        <f t="shared" si="32"/>
        <v>4.18</v>
      </c>
      <c r="T196" s="5">
        <f t="shared" si="32"/>
        <v>3.3</v>
      </c>
      <c r="U196" s="5">
        <f t="shared" si="32"/>
        <v>2.4</v>
      </c>
      <c r="V196" s="5">
        <f t="shared" si="32"/>
        <v>2.23</v>
      </c>
      <c r="W196" s="5">
        <f t="shared" si="32"/>
        <v>1.73</v>
      </c>
      <c r="X196" s="5">
        <f t="shared" si="32"/>
        <v>1.48</v>
      </c>
      <c r="Y196" s="5">
        <f t="shared" si="32"/>
        <v>1.22</v>
      </c>
      <c r="Z196" s="5">
        <f t="shared" si="32"/>
        <v>1.18</v>
      </c>
      <c r="AA196" s="5">
        <f t="shared" si="32"/>
        <v>1.05</v>
      </c>
      <c r="AB196" s="5">
        <f t="shared" si="32"/>
        <v>0.88</v>
      </c>
      <c r="AC196" s="5">
        <f t="shared" si="32"/>
        <v>0.74</v>
      </c>
      <c r="AD196" s="5">
        <f t="shared" si="32"/>
        <v>0.71</v>
      </c>
      <c r="AE196" s="5">
        <f t="shared" si="32"/>
        <v>0.61</v>
      </c>
      <c r="AF196" s="5">
        <f t="shared" si="32"/>
        <v>0.55</v>
      </c>
      <c r="AG196" s="5">
        <f t="shared" si="32"/>
        <v>0.51</v>
      </c>
      <c r="AH196" s="5">
        <f t="shared" si="27"/>
        <v>0.34</v>
      </c>
      <c r="AI196" s="5">
        <f t="shared" si="27"/>
        <v>0.25</v>
      </c>
      <c r="AJ196" s="5">
        <f t="shared" si="27"/>
        <v>0.2</v>
      </c>
    </row>
    <row r="197" spans="1:36">
      <c r="A197" t="str">
        <f>"casthouse_procurement_archetype_"&amp;TEXT(ROUND(Table21319[[#This Row],[2016]],1),"0.0")</f>
        <v>casthouse_procurement_archetype_10.8</v>
      </c>
      <c r="B197" s="5">
        <f t="shared" si="24"/>
        <v>10.8</v>
      </c>
      <c r="C197" s="5">
        <f t="shared" si="33"/>
        <v>10.8</v>
      </c>
      <c r="D197" s="5">
        <f t="shared" si="33"/>
        <v>10.8</v>
      </c>
      <c r="E197" s="5">
        <f t="shared" si="33"/>
        <v>10.54</v>
      </c>
      <c r="F197" s="5">
        <f t="shared" si="33"/>
        <v>9.91</v>
      </c>
      <c r="G197" s="5">
        <f t="shared" si="33"/>
        <v>10</v>
      </c>
      <c r="H197" s="5">
        <f t="shared" si="33"/>
        <v>9.72</v>
      </c>
      <c r="I197" s="5">
        <f t="shared" si="33"/>
        <v>9.19</v>
      </c>
      <c r="J197" s="5">
        <f t="shared" si="33"/>
        <v>8.9</v>
      </c>
      <c r="K197" s="5">
        <f t="shared" si="33"/>
        <v>8.59</v>
      </c>
      <c r="L197" s="5">
        <f t="shared" si="33"/>
        <v>8.11</v>
      </c>
      <c r="M197" s="5">
        <f t="shared" si="33"/>
        <v>8.05</v>
      </c>
      <c r="N197" s="5">
        <f t="shared" si="33"/>
        <v>7.66</v>
      </c>
      <c r="O197" s="5">
        <f t="shared" si="33"/>
        <v>7.25</v>
      </c>
      <c r="P197" s="5">
        <f t="shared" si="33"/>
        <v>6.76</v>
      </c>
      <c r="Q197" s="5">
        <f t="shared" si="33"/>
        <v>5.82</v>
      </c>
      <c r="R197" s="5">
        <f t="shared" si="33"/>
        <v>4.55</v>
      </c>
      <c r="S197" s="5">
        <f t="shared" si="32"/>
        <v>4.15</v>
      </c>
      <c r="T197" s="5">
        <f t="shared" si="32"/>
        <v>3.27</v>
      </c>
      <c r="U197" s="5">
        <f t="shared" si="32"/>
        <v>2.38</v>
      </c>
      <c r="V197" s="5">
        <f t="shared" si="32"/>
        <v>2.22</v>
      </c>
      <c r="W197" s="5">
        <f t="shared" si="32"/>
        <v>1.72</v>
      </c>
      <c r="X197" s="5">
        <f t="shared" si="32"/>
        <v>1.47</v>
      </c>
      <c r="Y197" s="5">
        <f t="shared" si="32"/>
        <v>1.21</v>
      </c>
      <c r="Z197" s="5">
        <f t="shared" si="32"/>
        <v>1.17</v>
      </c>
      <c r="AA197" s="5">
        <f t="shared" si="32"/>
        <v>1.05</v>
      </c>
      <c r="AB197" s="5">
        <f t="shared" si="32"/>
        <v>0.87</v>
      </c>
      <c r="AC197" s="5">
        <f t="shared" si="32"/>
        <v>0.73</v>
      </c>
      <c r="AD197" s="5">
        <f t="shared" si="32"/>
        <v>0.71</v>
      </c>
      <c r="AE197" s="5">
        <f t="shared" si="32"/>
        <v>0.61</v>
      </c>
      <c r="AF197" s="5">
        <f t="shared" si="32"/>
        <v>0.55</v>
      </c>
      <c r="AG197" s="5">
        <f t="shared" si="32"/>
        <v>0.51</v>
      </c>
      <c r="AH197" s="5">
        <f t="shared" si="27"/>
        <v>0.34</v>
      </c>
      <c r="AI197" s="5">
        <f t="shared" si="27"/>
        <v>0.25</v>
      </c>
      <c r="AJ197" s="5">
        <f t="shared" si="27"/>
        <v>0.2</v>
      </c>
    </row>
    <row r="198" spans="1:36">
      <c r="A198" t="str">
        <f>"casthouse_procurement_archetype_"&amp;TEXT(ROUND(Table21319[[#This Row],[2016]],1),"0.0")</f>
        <v>casthouse_procurement_archetype_10.7</v>
      </c>
      <c r="B198" s="5">
        <f t="shared" si="24"/>
        <v>10.7</v>
      </c>
      <c r="C198" s="5">
        <f t="shared" si="33"/>
        <v>10.7</v>
      </c>
      <c r="D198" s="5">
        <f t="shared" si="33"/>
        <v>10.7</v>
      </c>
      <c r="E198" s="5">
        <f t="shared" si="33"/>
        <v>10.44</v>
      </c>
      <c r="F198" s="5">
        <f t="shared" si="33"/>
        <v>9.82</v>
      </c>
      <c r="G198" s="5">
        <f t="shared" si="33"/>
        <v>9.9</v>
      </c>
      <c r="H198" s="5">
        <f t="shared" si="33"/>
        <v>9.63</v>
      </c>
      <c r="I198" s="5">
        <f t="shared" si="33"/>
        <v>9.11</v>
      </c>
      <c r="J198" s="5">
        <f t="shared" si="33"/>
        <v>8.81</v>
      </c>
      <c r="K198" s="5">
        <f t="shared" si="33"/>
        <v>8.51</v>
      </c>
      <c r="L198" s="5">
        <f t="shared" si="33"/>
        <v>8.04</v>
      </c>
      <c r="M198" s="5">
        <f t="shared" si="33"/>
        <v>7.98</v>
      </c>
      <c r="N198" s="5">
        <f t="shared" si="33"/>
        <v>7.59</v>
      </c>
      <c r="O198" s="5">
        <f t="shared" si="33"/>
        <v>7.18</v>
      </c>
      <c r="P198" s="5">
        <f t="shared" si="33"/>
        <v>6.7</v>
      </c>
      <c r="Q198" s="5">
        <f t="shared" si="33"/>
        <v>5.77</v>
      </c>
      <c r="R198" s="5">
        <f t="shared" si="33"/>
        <v>4.51</v>
      </c>
      <c r="S198" s="5">
        <f t="shared" si="32"/>
        <v>4.11</v>
      </c>
      <c r="T198" s="5">
        <f t="shared" si="32"/>
        <v>3.24</v>
      </c>
      <c r="U198" s="5">
        <f t="shared" si="32"/>
        <v>2.36</v>
      </c>
      <c r="V198" s="5">
        <f t="shared" si="32"/>
        <v>2.2</v>
      </c>
      <c r="W198" s="5">
        <f t="shared" si="32"/>
        <v>1.71</v>
      </c>
      <c r="X198" s="5">
        <f t="shared" si="32"/>
        <v>1.46</v>
      </c>
      <c r="Y198" s="5">
        <f t="shared" si="32"/>
        <v>1.2</v>
      </c>
      <c r="Z198" s="5">
        <f t="shared" si="32"/>
        <v>1.16</v>
      </c>
      <c r="AA198" s="5">
        <f t="shared" si="32"/>
        <v>1.04</v>
      </c>
      <c r="AB198" s="5">
        <f t="shared" si="32"/>
        <v>0.87</v>
      </c>
      <c r="AC198" s="5">
        <f t="shared" si="32"/>
        <v>0.73</v>
      </c>
      <c r="AD198" s="5">
        <f t="shared" si="32"/>
        <v>0.7</v>
      </c>
      <c r="AE198" s="5">
        <f t="shared" si="32"/>
        <v>0.61</v>
      </c>
      <c r="AF198" s="5">
        <f t="shared" si="32"/>
        <v>0.55</v>
      </c>
      <c r="AG198" s="5">
        <f t="shared" si="32"/>
        <v>0.5</v>
      </c>
      <c r="AH198" s="5">
        <f t="shared" si="27"/>
        <v>0.34</v>
      </c>
      <c r="AI198" s="5">
        <f t="shared" si="27"/>
        <v>0.24</v>
      </c>
      <c r="AJ198" s="5">
        <f t="shared" si="27"/>
        <v>0.2</v>
      </c>
    </row>
    <row r="199" spans="1:36">
      <c r="A199" t="str">
        <f>"casthouse_procurement_archetype_"&amp;TEXT(ROUND(Table21319[[#This Row],[2016]],1),"0.0")</f>
        <v>casthouse_procurement_archetype_10.6</v>
      </c>
      <c r="B199" s="5">
        <f t="shared" ref="B199:B262" si="34">MROUND(B198-0.1,0.1)</f>
        <v>10.6</v>
      </c>
      <c r="C199" s="5">
        <f t="shared" si="33"/>
        <v>10.6</v>
      </c>
      <c r="D199" s="5">
        <f t="shared" si="33"/>
        <v>10.6</v>
      </c>
      <c r="E199" s="5">
        <f t="shared" si="33"/>
        <v>10.34</v>
      </c>
      <c r="F199" s="5">
        <f t="shared" si="33"/>
        <v>9.73</v>
      </c>
      <c r="G199" s="5">
        <f t="shared" si="33"/>
        <v>9.81</v>
      </c>
      <c r="H199" s="5">
        <f t="shared" si="33"/>
        <v>9.54</v>
      </c>
      <c r="I199" s="5">
        <f t="shared" si="33"/>
        <v>9.02</v>
      </c>
      <c r="J199" s="5">
        <f t="shared" si="33"/>
        <v>8.73</v>
      </c>
      <c r="K199" s="5">
        <f t="shared" si="33"/>
        <v>8.43</v>
      </c>
      <c r="L199" s="5">
        <f t="shared" si="33"/>
        <v>7.96</v>
      </c>
      <c r="M199" s="5">
        <f t="shared" si="33"/>
        <v>7.9</v>
      </c>
      <c r="N199" s="5">
        <f t="shared" si="33"/>
        <v>7.52</v>
      </c>
      <c r="O199" s="5">
        <f t="shared" si="33"/>
        <v>7.11</v>
      </c>
      <c r="P199" s="5">
        <f t="shared" si="33"/>
        <v>6.64</v>
      </c>
      <c r="Q199" s="5">
        <f t="shared" si="33"/>
        <v>5.72</v>
      </c>
      <c r="R199" s="5">
        <f t="shared" si="33"/>
        <v>4.47</v>
      </c>
      <c r="S199" s="5">
        <f t="shared" si="32"/>
        <v>4.07</v>
      </c>
      <c r="T199" s="5">
        <f t="shared" si="32"/>
        <v>3.21</v>
      </c>
      <c r="U199" s="5">
        <f t="shared" si="32"/>
        <v>2.34</v>
      </c>
      <c r="V199" s="5">
        <f t="shared" si="32"/>
        <v>2.18</v>
      </c>
      <c r="W199" s="5">
        <f t="shared" si="32"/>
        <v>1.69</v>
      </c>
      <c r="X199" s="5">
        <f t="shared" si="32"/>
        <v>1.44</v>
      </c>
      <c r="Y199" s="5">
        <f t="shared" si="32"/>
        <v>1.19</v>
      </c>
      <c r="Z199" s="5">
        <f t="shared" si="32"/>
        <v>1.15</v>
      </c>
      <c r="AA199" s="5">
        <f t="shared" si="32"/>
        <v>1.03</v>
      </c>
      <c r="AB199" s="5">
        <f t="shared" si="32"/>
        <v>0.86</v>
      </c>
      <c r="AC199" s="5">
        <f t="shared" si="32"/>
        <v>0.72</v>
      </c>
      <c r="AD199" s="5">
        <f t="shared" si="32"/>
        <v>0.7</v>
      </c>
      <c r="AE199" s="5">
        <f t="shared" si="32"/>
        <v>0.6</v>
      </c>
      <c r="AF199" s="5">
        <f t="shared" si="32"/>
        <v>0.54</v>
      </c>
      <c r="AG199" s="5">
        <f t="shared" si="32"/>
        <v>0.5</v>
      </c>
      <c r="AH199" s="5">
        <f t="shared" si="27"/>
        <v>0.34</v>
      </c>
      <c r="AI199" s="5">
        <f t="shared" si="27"/>
        <v>0.24</v>
      </c>
      <c r="AJ199" s="5">
        <f t="shared" si="27"/>
        <v>0.2</v>
      </c>
    </row>
    <row r="200" spans="1:36">
      <c r="A200" t="str">
        <f>"casthouse_procurement_archetype_"&amp;TEXT(ROUND(Table21319[[#This Row],[2016]],1),"0.0")</f>
        <v>casthouse_procurement_archetype_10.5</v>
      </c>
      <c r="B200" s="5">
        <f t="shared" si="34"/>
        <v>10.5</v>
      </c>
      <c r="C200" s="5">
        <f t="shared" si="33"/>
        <v>10.5</v>
      </c>
      <c r="D200" s="5">
        <f t="shared" si="33"/>
        <v>10.5</v>
      </c>
      <c r="E200" s="5">
        <f t="shared" si="33"/>
        <v>10.25</v>
      </c>
      <c r="F200" s="5">
        <f t="shared" si="33"/>
        <v>9.63</v>
      </c>
      <c r="G200" s="5">
        <f t="shared" si="33"/>
        <v>9.72</v>
      </c>
      <c r="H200" s="5">
        <f t="shared" si="33"/>
        <v>9.45</v>
      </c>
      <c r="I200" s="5">
        <f t="shared" si="33"/>
        <v>8.94</v>
      </c>
      <c r="J200" s="5">
        <f t="shared" si="33"/>
        <v>8.65</v>
      </c>
      <c r="K200" s="5">
        <f t="shared" si="33"/>
        <v>8.35</v>
      </c>
      <c r="L200" s="5">
        <f t="shared" si="33"/>
        <v>7.89</v>
      </c>
      <c r="M200" s="5">
        <f t="shared" si="33"/>
        <v>7.83</v>
      </c>
      <c r="N200" s="5">
        <f t="shared" si="33"/>
        <v>7.45</v>
      </c>
      <c r="O200" s="5">
        <f t="shared" si="33"/>
        <v>7.05</v>
      </c>
      <c r="P200" s="5">
        <f t="shared" si="33"/>
        <v>6.58</v>
      </c>
      <c r="Q200" s="5">
        <f t="shared" si="33"/>
        <v>5.66</v>
      </c>
      <c r="R200" s="5">
        <f t="shared" si="33"/>
        <v>4.43</v>
      </c>
      <c r="S200" s="5">
        <f t="shared" si="32"/>
        <v>4.04</v>
      </c>
      <c r="T200" s="5">
        <f t="shared" si="32"/>
        <v>3.18</v>
      </c>
      <c r="U200" s="5">
        <f t="shared" si="32"/>
        <v>2.32</v>
      </c>
      <c r="V200" s="5">
        <f t="shared" si="32"/>
        <v>2.16</v>
      </c>
      <c r="W200" s="5">
        <f t="shared" si="32"/>
        <v>1.68</v>
      </c>
      <c r="X200" s="5">
        <f t="shared" si="32"/>
        <v>1.43</v>
      </c>
      <c r="Y200" s="5">
        <f t="shared" si="32"/>
        <v>1.18</v>
      </c>
      <c r="Z200" s="5">
        <f t="shared" si="32"/>
        <v>1.14</v>
      </c>
      <c r="AA200" s="5">
        <f t="shared" si="32"/>
        <v>1.02</v>
      </c>
      <c r="AB200" s="5">
        <f t="shared" si="32"/>
        <v>0.85</v>
      </c>
      <c r="AC200" s="5">
        <f t="shared" si="32"/>
        <v>0.72</v>
      </c>
      <c r="AD200" s="5">
        <f t="shared" si="32"/>
        <v>0.69</v>
      </c>
      <c r="AE200" s="5">
        <f t="shared" si="32"/>
        <v>0.6</v>
      </c>
      <c r="AF200" s="5">
        <f t="shared" si="32"/>
        <v>0.54</v>
      </c>
      <c r="AG200" s="5">
        <f t="shared" si="32"/>
        <v>0.5</v>
      </c>
      <c r="AH200" s="5">
        <f t="shared" si="27"/>
        <v>0.34</v>
      </c>
      <c r="AI200" s="5">
        <f t="shared" si="27"/>
        <v>0.24</v>
      </c>
      <c r="AJ200" s="5">
        <f t="shared" si="27"/>
        <v>0.2</v>
      </c>
    </row>
    <row r="201" spans="1:36">
      <c r="A201" t="str">
        <f>"casthouse_procurement_archetype_"&amp;TEXT(ROUND(Table21319[[#This Row],[2016]],1),"0.0")</f>
        <v>casthouse_procurement_archetype_10.4</v>
      </c>
      <c r="B201" s="5">
        <f t="shared" si="34"/>
        <v>10.4</v>
      </c>
      <c r="C201" s="5">
        <f t="shared" si="33"/>
        <v>10.4</v>
      </c>
      <c r="D201" s="5">
        <f t="shared" si="33"/>
        <v>10.4</v>
      </c>
      <c r="E201" s="5">
        <f t="shared" si="33"/>
        <v>10.15</v>
      </c>
      <c r="F201" s="5">
        <f t="shared" si="33"/>
        <v>9.54</v>
      </c>
      <c r="G201" s="5">
        <f t="shared" si="33"/>
        <v>9.63</v>
      </c>
      <c r="H201" s="5">
        <f t="shared" si="33"/>
        <v>9.36</v>
      </c>
      <c r="I201" s="5">
        <f t="shared" si="33"/>
        <v>8.85</v>
      </c>
      <c r="J201" s="5">
        <f t="shared" si="33"/>
        <v>8.57</v>
      </c>
      <c r="K201" s="5">
        <f t="shared" si="33"/>
        <v>8.28</v>
      </c>
      <c r="L201" s="5">
        <f t="shared" si="33"/>
        <v>7.81</v>
      </c>
      <c r="M201" s="5">
        <f t="shared" si="33"/>
        <v>7.75</v>
      </c>
      <c r="N201" s="5">
        <f t="shared" si="33"/>
        <v>7.37</v>
      </c>
      <c r="O201" s="5">
        <f t="shared" si="33"/>
        <v>6.98</v>
      </c>
      <c r="P201" s="5">
        <f t="shared" si="33"/>
        <v>6.51</v>
      </c>
      <c r="Q201" s="5">
        <f t="shared" si="33"/>
        <v>5.61</v>
      </c>
      <c r="R201" s="5">
        <f t="shared" si="33"/>
        <v>4.39</v>
      </c>
      <c r="S201" s="5">
        <f t="shared" si="32"/>
        <v>4</v>
      </c>
      <c r="T201" s="5">
        <f t="shared" si="32"/>
        <v>3.15</v>
      </c>
      <c r="U201" s="5">
        <f t="shared" si="32"/>
        <v>2.3</v>
      </c>
      <c r="V201" s="5">
        <f t="shared" si="32"/>
        <v>2.14</v>
      </c>
      <c r="W201" s="5">
        <f t="shared" si="32"/>
        <v>1.66</v>
      </c>
      <c r="X201" s="5">
        <f t="shared" si="32"/>
        <v>1.42</v>
      </c>
      <c r="Y201" s="5">
        <f t="shared" si="32"/>
        <v>1.17</v>
      </c>
      <c r="Z201" s="5">
        <f t="shared" si="32"/>
        <v>1.13</v>
      </c>
      <c r="AA201" s="5">
        <f t="shared" si="32"/>
        <v>1.01</v>
      </c>
      <c r="AB201" s="5">
        <f t="shared" si="32"/>
        <v>0.85</v>
      </c>
      <c r="AC201" s="5">
        <f t="shared" si="32"/>
        <v>0.71</v>
      </c>
      <c r="AD201" s="5">
        <f t="shared" si="32"/>
        <v>0.69</v>
      </c>
      <c r="AE201" s="5">
        <f t="shared" si="32"/>
        <v>0.6</v>
      </c>
      <c r="AF201" s="5">
        <f t="shared" si="32"/>
        <v>0.54</v>
      </c>
      <c r="AG201" s="5">
        <f t="shared" si="32"/>
        <v>0.5</v>
      </c>
      <c r="AH201" s="5">
        <f t="shared" si="27"/>
        <v>0.33</v>
      </c>
      <c r="AI201" s="5">
        <f t="shared" si="27"/>
        <v>0.24</v>
      </c>
      <c r="AJ201" s="5">
        <f t="shared" si="27"/>
        <v>0.2</v>
      </c>
    </row>
    <row r="202" spans="1:36">
      <c r="A202" t="str">
        <f>"casthouse_procurement_archetype_"&amp;TEXT(ROUND(Table21319[[#This Row],[2016]],1),"0.0")</f>
        <v>casthouse_procurement_archetype_10.3</v>
      </c>
      <c r="B202" s="5">
        <f t="shared" si="34"/>
        <v>10.3</v>
      </c>
      <c r="C202" s="5">
        <f t="shared" si="33"/>
        <v>10.3</v>
      </c>
      <c r="D202" s="5">
        <f t="shared" si="33"/>
        <v>10.3</v>
      </c>
      <c r="E202" s="5">
        <f t="shared" si="33"/>
        <v>10.05</v>
      </c>
      <c r="F202" s="5">
        <f t="shared" si="33"/>
        <v>9.45</v>
      </c>
      <c r="G202" s="5">
        <f t="shared" si="33"/>
        <v>9.53</v>
      </c>
      <c r="H202" s="5">
        <f t="shared" si="33"/>
        <v>9.27</v>
      </c>
      <c r="I202" s="5">
        <f t="shared" si="33"/>
        <v>8.77</v>
      </c>
      <c r="J202" s="5">
        <f t="shared" si="33"/>
        <v>8.49</v>
      </c>
      <c r="K202" s="5">
        <f t="shared" si="33"/>
        <v>8.2</v>
      </c>
      <c r="L202" s="5">
        <f t="shared" si="33"/>
        <v>7.74</v>
      </c>
      <c r="M202" s="5">
        <f t="shared" si="33"/>
        <v>7.68</v>
      </c>
      <c r="N202" s="5">
        <f t="shared" si="33"/>
        <v>7.3</v>
      </c>
      <c r="O202" s="5">
        <f t="shared" si="33"/>
        <v>6.91</v>
      </c>
      <c r="P202" s="5">
        <f t="shared" si="33"/>
        <v>6.45</v>
      </c>
      <c r="Q202" s="5">
        <f t="shared" si="33"/>
        <v>5.56</v>
      </c>
      <c r="R202" s="5">
        <f t="shared" si="33"/>
        <v>4.35</v>
      </c>
      <c r="S202" s="5">
        <f t="shared" si="32"/>
        <v>3.96</v>
      </c>
      <c r="T202" s="5">
        <f t="shared" si="32"/>
        <v>3.12</v>
      </c>
      <c r="U202" s="5">
        <f t="shared" si="32"/>
        <v>2.28</v>
      </c>
      <c r="V202" s="5">
        <f t="shared" si="32"/>
        <v>2.12</v>
      </c>
      <c r="W202" s="5">
        <f t="shared" si="32"/>
        <v>1.65</v>
      </c>
      <c r="X202" s="5">
        <f t="shared" si="32"/>
        <v>1.41</v>
      </c>
      <c r="Y202" s="5">
        <f t="shared" si="32"/>
        <v>1.16</v>
      </c>
      <c r="Z202" s="5">
        <f t="shared" si="32"/>
        <v>1.12</v>
      </c>
      <c r="AA202" s="5">
        <f t="shared" si="32"/>
        <v>1.01</v>
      </c>
      <c r="AB202" s="5">
        <f t="shared" si="32"/>
        <v>0.84</v>
      </c>
      <c r="AC202" s="5">
        <f t="shared" si="32"/>
        <v>0.71</v>
      </c>
      <c r="AD202" s="5">
        <f t="shared" si="32"/>
        <v>0.68</v>
      </c>
      <c r="AE202" s="5">
        <f t="shared" si="32"/>
        <v>0.59</v>
      </c>
      <c r="AF202" s="5">
        <f t="shared" si="32"/>
        <v>0.53</v>
      </c>
      <c r="AG202" s="5">
        <f t="shared" si="32"/>
        <v>0.49</v>
      </c>
      <c r="AH202" s="5">
        <f t="shared" si="27"/>
        <v>0.33</v>
      </c>
      <c r="AI202" s="5">
        <f t="shared" si="27"/>
        <v>0.24</v>
      </c>
      <c r="AJ202" s="5">
        <f t="shared" si="27"/>
        <v>0.2</v>
      </c>
    </row>
    <row r="203" spans="1:36">
      <c r="A203" t="str">
        <f>"casthouse_procurement_archetype_"&amp;TEXT(ROUND(Table21319[[#This Row],[2016]],1),"0.0")</f>
        <v>casthouse_procurement_archetype_10.2</v>
      </c>
      <c r="B203" s="5">
        <f t="shared" si="34"/>
        <v>10.2</v>
      </c>
      <c r="C203" s="5">
        <f t="shared" si="33"/>
        <v>10.2</v>
      </c>
      <c r="D203" s="5">
        <f t="shared" si="33"/>
        <v>10.2</v>
      </c>
      <c r="E203" s="5">
        <f t="shared" si="33"/>
        <v>9.95</v>
      </c>
      <c r="F203" s="5">
        <f t="shared" si="33"/>
        <v>9.36</v>
      </c>
      <c r="G203" s="5">
        <f t="shared" si="33"/>
        <v>9.44</v>
      </c>
      <c r="H203" s="5">
        <f t="shared" si="33"/>
        <v>9.18</v>
      </c>
      <c r="I203" s="5">
        <f t="shared" si="33"/>
        <v>8.69</v>
      </c>
      <c r="J203" s="5">
        <f t="shared" si="33"/>
        <v>8.4</v>
      </c>
      <c r="K203" s="5">
        <f t="shared" si="33"/>
        <v>8.12</v>
      </c>
      <c r="L203" s="5">
        <f t="shared" si="33"/>
        <v>7.66</v>
      </c>
      <c r="M203" s="5">
        <f t="shared" si="33"/>
        <v>7.61</v>
      </c>
      <c r="N203" s="5">
        <f t="shared" si="33"/>
        <v>7.23</v>
      </c>
      <c r="O203" s="5">
        <f t="shared" si="33"/>
        <v>6.85</v>
      </c>
      <c r="P203" s="5">
        <f t="shared" si="33"/>
        <v>6.39</v>
      </c>
      <c r="Q203" s="5">
        <f t="shared" si="33"/>
        <v>5.5</v>
      </c>
      <c r="R203" s="5">
        <f t="shared" si="33"/>
        <v>4.31</v>
      </c>
      <c r="S203" s="5">
        <f t="shared" si="32"/>
        <v>3.92</v>
      </c>
      <c r="T203" s="5">
        <f t="shared" si="32"/>
        <v>3.09</v>
      </c>
      <c r="U203" s="5">
        <f t="shared" si="32"/>
        <v>2.26</v>
      </c>
      <c r="V203" s="5">
        <f t="shared" si="32"/>
        <v>2.1</v>
      </c>
      <c r="W203" s="5">
        <f t="shared" si="32"/>
        <v>1.63</v>
      </c>
      <c r="X203" s="5">
        <f t="shared" si="32"/>
        <v>1.4</v>
      </c>
      <c r="Y203" s="5">
        <f t="shared" si="32"/>
        <v>1.15</v>
      </c>
      <c r="Z203" s="5">
        <f t="shared" si="32"/>
        <v>1.11</v>
      </c>
      <c r="AA203" s="5">
        <f t="shared" si="32"/>
        <v>1</v>
      </c>
      <c r="AB203" s="5">
        <f t="shared" si="32"/>
        <v>0.83</v>
      </c>
      <c r="AC203" s="5">
        <f t="shared" si="32"/>
        <v>0.7</v>
      </c>
      <c r="AD203" s="5">
        <f t="shared" si="32"/>
        <v>0.68</v>
      </c>
      <c r="AE203" s="5">
        <f t="shared" si="32"/>
        <v>0.59</v>
      </c>
      <c r="AF203" s="5">
        <f t="shared" si="32"/>
        <v>0.53</v>
      </c>
      <c r="AG203" s="5">
        <f t="shared" si="32"/>
        <v>0.49</v>
      </c>
      <c r="AH203" s="5">
        <f t="shared" si="27"/>
        <v>0.33</v>
      </c>
      <c r="AI203" s="5">
        <f t="shared" si="27"/>
        <v>0.24</v>
      </c>
      <c r="AJ203" s="5">
        <f t="shared" si="27"/>
        <v>0.2</v>
      </c>
    </row>
    <row r="204" spans="1:36">
      <c r="A204" t="str">
        <f>"casthouse_procurement_archetype_"&amp;TEXT(ROUND(Table21319[[#This Row],[2016]],1),"0.0")</f>
        <v>casthouse_procurement_archetype_10.1</v>
      </c>
      <c r="B204" s="5">
        <f t="shared" si="34"/>
        <v>10.1</v>
      </c>
      <c r="C204" s="5">
        <f t="shared" si="33"/>
        <v>10.1</v>
      </c>
      <c r="D204" s="5">
        <f t="shared" si="33"/>
        <v>10.1</v>
      </c>
      <c r="E204" s="5">
        <f t="shared" si="33"/>
        <v>9.86</v>
      </c>
      <c r="F204" s="5">
        <f t="shared" si="33"/>
        <v>9.27</v>
      </c>
      <c r="G204" s="5">
        <f t="shared" si="33"/>
        <v>9.35</v>
      </c>
      <c r="H204" s="5">
        <f t="shared" si="33"/>
        <v>9.09</v>
      </c>
      <c r="I204" s="5">
        <f t="shared" si="33"/>
        <v>8.6</v>
      </c>
      <c r="J204" s="5">
        <f t="shared" si="33"/>
        <v>8.32</v>
      </c>
      <c r="K204" s="5">
        <f t="shared" si="33"/>
        <v>8.04</v>
      </c>
      <c r="L204" s="5">
        <f t="shared" si="33"/>
        <v>7.59</v>
      </c>
      <c r="M204" s="5">
        <f t="shared" si="33"/>
        <v>7.53</v>
      </c>
      <c r="N204" s="5">
        <f t="shared" si="33"/>
        <v>7.16</v>
      </c>
      <c r="O204" s="5">
        <f t="shared" si="33"/>
        <v>6.78</v>
      </c>
      <c r="P204" s="5">
        <f t="shared" si="33"/>
        <v>6.33</v>
      </c>
      <c r="Q204" s="5">
        <f t="shared" si="33"/>
        <v>5.45</v>
      </c>
      <c r="R204" s="5">
        <f t="shared" ref="R204:AG219" si="35">MROUND((($B204-$AJ$2)*((R$2-$AJ$2)/($B$2-$AJ$2)))+$AJ$2,0.01)</f>
        <v>4.26</v>
      </c>
      <c r="S204" s="5">
        <f t="shared" si="35"/>
        <v>3.89</v>
      </c>
      <c r="T204" s="5">
        <f t="shared" si="35"/>
        <v>3.06</v>
      </c>
      <c r="U204" s="5">
        <f t="shared" si="35"/>
        <v>2.24</v>
      </c>
      <c r="V204" s="5">
        <f t="shared" si="35"/>
        <v>2.08</v>
      </c>
      <c r="W204" s="5">
        <f t="shared" si="35"/>
        <v>1.62</v>
      </c>
      <c r="X204" s="5">
        <f t="shared" si="35"/>
        <v>1.38</v>
      </c>
      <c r="Y204" s="5">
        <f t="shared" si="35"/>
        <v>1.14</v>
      </c>
      <c r="Z204" s="5">
        <f t="shared" si="35"/>
        <v>1.1</v>
      </c>
      <c r="AA204" s="5">
        <f t="shared" si="35"/>
        <v>0.99</v>
      </c>
      <c r="AB204" s="5">
        <f t="shared" si="35"/>
        <v>0.83</v>
      </c>
      <c r="AC204" s="5">
        <f t="shared" si="35"/>
        <v>0.7</v>
      </c>
      <c r="AD204" s="5">
        <f t="shared" si="35"/>
        <v>0.67</v>
      </c>
      <c r="AE204" s="5">
        <f t="shared" si="35"/>
        <v>0.58</v>
      </c>
      <c r="AF204" s="5">
        <f t="shared" si="35"/>
        <v>0.53</v>
      </c>
      <c r="AG204" s="5">
        <f t="shared" si="35"/>
        <v>0.49</v>
      </c>
      <c r="AH204" s="5">
        <f t="shared" si="27"/>
        <v>0.33</v>
      </c>
      <c r="AI204" s="5">
        <f t="shared" si="27"/>
        <v>0.24</v>
      </c>
      <c r="AJ204" s="5">
        <f t="shared" si="27"/>
        <v>0.2</v>
      </c>
    </row>
    <row r="205" spans="1:36">
      <c r="A205" t="str">
        <f>"casthouse_procurement_archetype_"&amp;TEXT(ROUND(Table21319[[#This Row],[2016]],1),"0.0")</f>
        <v>casthouse_procurement_archetype_10.0</v>
      </c>
      <c r="B205" s="5">
        <f t="shared" si="34"/>
        <v>10</v>
      </c>
      <c r="C205" s="5">
        <f t="shared" ref="C205:R220" si="36">MROUND((($B205-$AJ$2)*((C$2-$AJ$2)/($B$2-$AJ$2)))+$AJ$2,0.01)</f>
        <v>10</v>
      </c>
      <c r="D205" s="5">
        <f t="shared" si="36"/>
        <v>10</v>
      </c>
      <c r="E205" s="5">
        <f t="shared" si="36"/>
        <v>9.76</v>
      </c>
      <c r="F205" s="5">
        <f t="shared" si="36"/>
        <v>9.18</v>
      </c>
      <c r="G205" s="5">
        <f t="shared" si="36"/>
        <v>9.26</v>
      </c>
      <c r="H205" s="5">
        <f t="shared" si="36"/>
        <v>9</v>
      </c>
      <c r="I205" s="5">
        <f t="shared" si="36"/>
        <v>8.52</v>
      </c>
      <c r="J205" s="5">
        <f t="shared" si="36"/>
        <v>8.24</v>
      </c>
      <c r="K205" s="5">
        <f t="shared" si="36"/>
        <v>7.96</v>
      </c>
      <c r="L205" s="5">
        <f t="shared" si="36"/>
        <v>7.51</v>
      </c>
      <c r="M205" s="5">
        <f t="shared" si="36"/>
        <v>7.46</v>
      </c>
      <c r="N205" s="5">
        <f t="shared" si="36"/>
        <v>7.09</v>
      </c>
      <c r="O205" s="5">
        <f t="shared" si="36"/>
        <v>6.71</v>
      </c>
      <c r="P205" s="5">
        <f t="shared" si="36"/>
        <v>6.27</v>
      </c>
      <c r="Q205" s="5">
        <f t="shared" si="36"/>
        <v>5.4</v>
      </c>
      <c r="R205" s="5">
        <f t="shared" si="36"/>
        <v>4.22</v>
      </c>
      <c r="S205" s="5">
        <f t="shared" si="35"/>
        <v>3.85</v>
      </c>
      <c r="T205" s="5">
        <f t="shared" si="35"/>
        <v>3.04</v>
      </c>
      <c r="U205" s="5">
        <f t="shared" si="35"/>
        <v>2.22</v>
      </c>
      <c r="V205" s="5">
        <f t="shared" si="35"/>
        <v>2.06</v>
      </c>
      <c r="W205" s="5">
        <f t="shared" si="35"/>
        <v>1.61</v>
      </c>
      <c r="X205" s="5">
        <f t="shared" si="35"/>
        <v>1.37</v>
      </c>
      <c r="Y205" s="5">
        <f t="shared" si="35"/>
        <v>1.13</v>
      </c>
      <c r="Z205" s="5">
        <f t="shared" si="35"/>
        <v>1.09</v>
      </c>
      <c r="AA205" s="5">
        <f t="shared" si="35"/>
        <v>0.98</v>
      </c>
      <c r="AB205" s="5">
        <f t="shared" si="35"/>
        <v>0.82</v>
      </c>
      <c r="AC205" s="5">
        <f t="shared" si="35"/>
        <v>0.69</v>
      </c>
      <c r="AD205" s="5">
        <f t="shared" si="35"/>
        <v>0.67</v>
      </c>
      <c r="AE205" s="5">
        <f t="shared" si="35"/>
        <v>0.58</v>
      </c>
      <c r="AF205" s="5">
        <f t="shared" si="35"/>
        <v>0.53</v>
      </c>
      <c r="AG205" s="5">
        <f t="shared" si="35"/>
        <v>0.48</v>
      </c>
      <c r="AH205" s="5">
        <f t="shared" si="27"/>
        <v>0.33</v>
      </c>
      <c r="AI205" s="5">
        <f t="shared" si="27"/>
        <v>0.24</v>
      </c>
      <c r="AJ205" s="5">
        <f t="shared" si="27"/>
        <v>0.2</v>
      </c>
    </row>
    <row r="206" spans="1:36">
      <c r="A206" t="str">
        <f>"casthouse_procurement_archetype_"&amp;TEXT(ROUND(Table21319[[#This Row],[2016]],1),"0.0")</f>
        <v>casthouse_procurement_archetype_9.9</v>
      </c>
      <c r="B206" s="5">
        <f t="shared" si="34"/>
        <v>9.9</v>
      </c>
      <c r="C206" s="5">
        <f t="shared" si="36"/>
        <v>9.9</v>
      </c>
      <c r="D206" s="5">
        <f t="shared" si="36"/>
        <v>9.9</v>
      </c>
      <c r="E206" s="5">
        <f t="shared" si="36"/>
        <v>9.66</v>
      </c>
      <c r="F206" s="5">
        <f t="shared" si="36"/>
        <v>9.08</v>
      </c>
      <c r="G206" s="5">
        <f t="shared" si="36"/>
        <v>9.17</v>
      </c>
      <c r="H206" s="5">
        <f t="shared" si="36"/>
        <v>8.91</v>
      </c>
      <c r="I206" s="5">
        <f t="shared" si="36"/>
        <v>8.43</v>
      </c>
      <c r="J206" s="5">
        <f t="shared" si="36"/>
        <v>8.16</v>
      </c>
      <c r="K206" s="5">
        <f t="shared" si="36"/>
        <v>7.88</v>
      </c>
      <c r="L206" s="5">
        <f t="shared" si="36"/>
        <v>7.44</v>
      </c>
      <c r="M206" s="5">
        <f t="shared" si="36"/>
        <v>7.38</v>
      </c>
      <c r="N206" s="5">
        <f t="shared" si="36"/>
        <v>7.02</v>
      </c>
      <c r="O206" s="5">
        <f t="shared" si="36"/>
        <v>6.65</v>
      </c>
      <c r="P206" s="5">
        <f t="shared" si="36"/>
        <v>6.21</v>
      </c>
      <c r="Q206" s="5">
        <f t="shared" si="36"/>
        <v>5.34</v>
      </c>
      <c r="R206" s="5">
        <f t="shared" si="36"/>
        <v>4.18</v>
      </c>
      <c r="S206" s="5">
        <f t="shared" si="35"/>
        <v>3.81</v>
      </c>
      <c r="T206" s="5">
        <f t="shared" si="35"/>
        <v>3.01</v>
      </c>
      <c r="U206" s="5">
        <f t="shared" si="35"/>
        <v>2.19</v>
      </c>
      <c r="V206" s="5">
        <f t="shared" si="35"/>
        <v>2.04</v>
      </c>
      <c r="W206" s="5">
        <f t="shared" si="35"/>
        <v>1.59</v>
      </c>
      <c r="X206" s="5">
        <f t="shared" si="35"/>
        <v>1.36</v>
      </c>
      <c r="Y206" s="5">
        <f t="shared" si="35"/>
        <v>1.12</v>
      </c>
      <c r="Z206" s="5">
        <f t="shared" si="35"/>
        <v>1.08</v>
      </c>
      <c r="AA206" s="5">
        <f t="shared" si="35"/>
        <v>0.98</v>
      </c>
      <c r="AB206" s="5">
        <f t="shared" si="35"/>
        <v>0.82</v>
      </c>
      <c r="AC206" s="5">
        <f t="shared" si="35"/>
        <v>0.69</v>
      </c>
      <c r="AD206" s="5">
        <f t="shared" si="35"/>
        <v>0.66</v>
      </c>
      <c r="AE206" s="5">
        <f t="shared" si="35"/>
        <v>0.58</v>
      </c>
      <c r="AF206" s="5">
        <f t="shared" si="35"/>
        <v>0.52</v>
      </c>
      <c r="AG206" s="5">
        <f t="shared" si="35"/>
        <v>0.48</v>
      </c>
      <c r="AH206" s="5">
        <f t="shared" si="27"/>
        <v>0.33</v>
      </c>
      <c r="AI206" s="5">
        <f t="shared" si="27"/>
        <v>0.24</v>
      </c>
      <c r="AJ206" s="5">
        <f t="shared" si="27"/>
        <v>0.2</v>
      </c>
    </row>
    <row r="207" spans="1:36">
      <c r="A207" t="str">
        <f>"casthouse_procurement_archetype_"&amp;TEXT(ROUND(Table21319[[#This Row],[2016]],1),"0.0")</f>
        <v>casthouse_procurement_archetype_9.8</v>
      </c>
      <c r="B207" s="5">
        <f t="shared" si="34"/>
        <v>9.8</v>
      </c>
      <c r="C207" s="5">
        <f t="shared" si="36"/>
        <v>9.8</v>
      </c>
      <c r="D207" s="5">
        <f t="shared" si="36"/>
        <v>9.8</v>
      </c>
      <c r="E207" s="5">
        <f t="shared" si="36"/>
        <v>9.56</v>
      </c>
      <c r="F207" s="5">
        <f t="shared" si="36"/>
        <v>8.99</v>
      </c>
      <c r="G207" s="5">
        <f t="shared" si="36"/>
        <v>9.07</v>
      </c>
      <c r="H207" s="5">
        <f t="shared" si="36"/>
        <v>8.83</v>
      </c>
      <c r="I207" s="5">
        <f t="shared" si="36"/>
        <v>8.35</v>
      </c>
      <c r="J207" s="5">
        <f t="shared" si="36"/>
        <v>8.08</v>
      </c>
      <c r="K207" s="5">
        <f t="shared" si="36"/>
        <v>7.8</v>
      </c>
      <c r="L207" s="5">
        <f t="shared" si="36"/>
        <v>7.36</v>
      </c>
      <c r="M207" s="5">
        <f t="shared" si="36"/>
        <v>7.31</v>
      </c>
      <c r="N207" s="5">
        <f t="shared" si="36"/>
        <v>6.95</v>
      </c>
      <c r="O207" s="5">
        <f t="shared" si="36"/>
        <v>6.58</v>
      </c>
      <c r="P207" s="5">
        <f t="shared" si="36"/>
        <v>6.14</v>
      </c>
      <c r="Q207" s="5">
        <f t="shared" si="36"/>
        <v>5.29</v>
      </c>
      <c r="R207" s="5">
        <f t="shared" si="36"/>
        <v>4.14</v>
      </c>
      <c r="S207" s="5">
        <f t="shared" si="35"/>
        <v>3.77</v>
      </c>
      <c r="T207" s="5">
        <f t="shared" si="35"/>
        <v>2.98</v>
      </c>
      <c r="U207" s="5">
        <f t="shared" si="35"/>
        <v>2.17</v>
      </c>
      <c r="V207" s="5">
        <f t="shared" si="35"/>
        <v>2.03</v>
      </c>
      <c r="W207" s="5">
        <f t="shared" si="35"/>
        <v>1.58</v>
      </c>
      <c r="X207" s="5">
        <f t="shared" si="35"/>
        <v>1.35</v>
      </c>
      <c r="Y207" s="5">
        <f t="shared" si="35"/>
        <v>1.11</v>
      </c>
      <c r="Z207" s="5">
        <f t="shared" si="35"/>
        <v>1.07</v>
      </c>
      <c r="AA207" s="5">
        <f t="shared" si="35"/>
        <v>0.97</v>
      </c>
      <c r="AB207" s="5">
        <f t="shared" si="35"/>
        <v>0.81</v>
      </c>
      <c r="AC207" s="5">
        <f t="shared" si="35"/>
        <v>0.68</v>
      </c>
      <c r="AD207" s="5">
        <f t="shared" si="35"/>
        <v>0.66</v>
      </c>
      <c r="AE207" s="5">
        <f t="shared" si="35"/>
        <v>0.57</v>
      </c>
      <c r="AF207" s="5">
        <f t="shared" si="35"/>
        <v>0.52</v>
      </c>
      <c r="AG207" s="5">
        <f t="shared" si="35"/>
        <v>0.48</v>
      </c>
      <c r="AH207" s="5">
        <f t="shared" si="27"/>
        <v>0.33</v>
      </c>
      <c r="AI207" s="5">
        <f t="shared" si="27"/>
        <v>0.24</v>
      </c>
      <c r="AJ207" s="5">
        <f t="shared" si="27"/>
        <v>0.2</v>
      </c>
    </row>
    <row r="208" spans="1:36">
      <c r="A208" t="str">
        <f>"casthouse_procurement_archetype_"&amp;TEXT(ROUND(Table21319[[#This Row],[2016]],1),"0.0")</f>
        <v>casthouse_procurement_archetype_9.7</v>
      </c>
      <c r="B208" s="5">
        <f t="shared" si="34"/>
        <v>9.7</v>
      </c>
      <c r="C208" s="5">
        <f t="shared" si="36"/>
        <v>9.7</v>
      </c>
      <c r="D208" s="5">
        <f t="shared" si="36"/>
        <v>9.7</v>
      </c>
      <c r="E208" s="5">
        <f t="shared" si="36"/>
        <v>9.47</v>
      </c>
      <c r="F208" s="5">
        <f t="shared" si="36"/>
        <v>8.9</v>
      </c>
      <c r="G208" s="5">
        <f t="shared" si="36"/>
        <v>8.98</v>
      </c>
      <c r="H208" s="5">
        <f t="shared" si="36"/>
        <v>8.74</v>
      </c>
      <c r="I208" s="5">
        <f t="shared" si="36"/>
        <v>8.26</v>
      </c>
      <c r="J208" s="5">
        <f t="shared" si="36"/>
        <v>7.99</v>
      </c>
      <c r="K208" s="5">
        <f t="shared" si="36"/>
        <v>7.72</v>
      </c>
      <c r="L208" s="5">
        <f t="shared" si="36"/>
        <v>7.29</v>
      </c>
      <c r="M208" s="5">
        <f t="shared" si="36"/>
        <v>7.24</v>
      </c>
      <c r="N208" s="5">
        <f t="shared" si="36"/>
        <v>6.88</v>
      </c>
      <c r="O208" s="5">
        <f t="shared" si="36"/>
        <v>6.52</v>
      </c>
      <c r="P208" s="5">
        <f t="shared" si="36"/>
        <v>6.08</v>
      </c>
      <c r="Q208" s="5">
        <f t="shared" si="36"/>
        <v>5.24</v>
      </c>
      <c r="R208" s="5">
        <f t="shared" si="36"/>
        <v>4.1</v>
      </c>
      <c r="S208" s="5">
        <f t="shared" si="35"/>
        <v>3.74</v>
      </c>
      <c r="T208" s="5">
        <f t="shared" si="35"/>
        <v>2.95</v>
      </c>
      <c r="U208" s="5">
        <f t="shared" si="35"/>
        <v>2.15</v>
      </c>
      <c r="V208" s="5">
        <f t="shared" si="35"/>
        <v>2.01</v>
      </c>
      <c r="W208" s="5">
        <f t="shared" si="35"/>
        <v>1.56</v>
      </c>
      <c r="X208" s="5">
        <f t="shared" si="35"/>
        <v>1.34</v>
      </c>
      <c r="Y208" s="5">
        <f t="shared" si="35"/>
        <v>1.1</v>
      </c>
      <c r="Z208" s="5">
        <f t="shared" si="35"/>
        <v>1.07</v>
      </c>
      <c r="AA208" s="5">
        <f t="shared" si="35"/>
        <v>0.96</v>
      </c>
      <c r="AB208" s="5">
        <f t="shared" si="35"/>
        <v>0.8</v>
      </c>
      <c r="AC208" s="5">
        <f t="shared" si="35"/>
        <v>0.68</v>
      </c>
      <c r="AD208" s="5">
        <f t="shared" si="35"/>
        <v>0.65</v>
      </c>
      <c r="AE208" s="5">
        <f t="shared" si="35"/>
        <v>0.57</v>
      </c>
      <c r="AF208" s="5">
        <f t="shared" si="35"/>
        <v>0.52</v>
      </c>
      <c r="AG208" s="5">
        <f t="shared" si="35"/>
        <v>0.48</v>
      </c>
      <c r="AH208" s="5">
        <f t="shared" si="27"/>
        <v>0.33</v>
      </c>
      <c r="AI208" s="5">
        <f t="shared" si="27"/>
        <v>0.24</v>
      </c>
      <c r="AJ208" s="5">
        <f t="shared" si="27"/>
        <v>0.2</v>
      </c>
    </row>
    <row r="209" spans="1:36">
      <c r="A209" t="str">
        <f>"casthouse_procurement_archetype_"&amp;TEXT(ROUND(Table21319[[#This Row],[2016]],1),"0.0")</f>
        <v>casthouse_procurement_archetype_9.6</v>
      </c>
      <c r="B209" s="5">
        <f t="shared" si="34"/>
        <v>9.6</v>
      </c>
      <c r="C209" s="5">
        <f t="shared" si="36"/>
        <v>9.6</v>
      </c>
      <c r="D209" s="5">
        <f t="shared" si="36"/>
        <v>9.6</v>
      </c>
      <c r="E209" s="5">
        <f t="shared" si="36"/>
        <v>9.37</v>
      </c>
      <c r="F209" s="5">
        <f t="shared" si="36"/>
        <v>8.81</v>
      </c>
      <c r="G209" s="5">
        <f t="shared" si="36"/>
        <v>8.89</v>
      </c>
      <c r="H209" s="5">
        <f t="shared" si="36"/>
        <v>8.65</v>
      </c>
      <c r="I209" s="5">
        <f t="shared" si="36"/>
        <v>8.18</v>
      </c>
      <c r="J209" s="5">
        <f t="shared" si="36"/>
        <v>7.91</v>
      </c>
      <c r="K209" s="5">
        <f t="shared" si="36"/>
        <v>7.64</v>
      </c>
      <c r="L209" s="5">
        <f t="shared" si="36"/>
        <v>7.21</v>
      </c>
      <c r="M209" s="5">
        <f t="shared" si="36"/>
        <v>7.16</v>
      </c>
      <c r="N209" s="5">
        <f t="shared" si="36"/>
        <v>6.81</v>
      </c>
      <c r="O209" s="5">
        <f t="shared" si="36"/>
        <v>6.45</v>
      </c>
      <c r="P209" s="5">
        <f t="shared" si="36"/>
        <v>6.02</v>
      </c>
      <c r="Q209" s="5">
        <f t="shared" si="36"/>
        <v>5.18</v>
      </c>
      <c r="R209" s="5">
        <f t="shared" si="36"/>
        <v>4.06</v>
      </c>
      <c r="S209" s="5">
        <f t="shared" si="35"/>
        <v>3.7</v>
      </c>
      <c r="T209" s="5">
        <f t="shared" si="35"/>
        <v>2.92</v>
      </c>
      <c r="U209" s="5">
        <f t="shared" si="35"/>
        <v>2.13</v>
      </c>
      <c r="V209" s="5">
        <f t="shared" si="35"/>
        <v>1.99</v>
      </c>
      <c r="W209" s="5">
        <f t="shared" si="35"/>
        <v>1.55</v>
      </c>
      <c r="X209" s="5">
        <f t="shared" si="35"/>
        <v>1.32</v>
      </c>
      <c r="Y209" s="5">
        <f t="shared" si="35"/>
        <v>1.09</v>
      </c>
      <c r="Z209" s="5">
        <f t="shared" si="35"/>
        <v>1.06</v>
      </c>
      <c r="AA209" s="5">
        <f t="shared" si="35"/>
        <v>0.95</v>
      </c>
      <c r="AB209" s="5">
        <f t="shared" si="35"/>
        <v>0.8</v>
      </c>
      <c r="AC209" s="5">
        <f t="shared" si="35"/>
        <v>0.67</v>
      </c>
      <c r="AD209" s="5">
        <f t="shared" si="35"/>
        <v>0.65</v>
      </c>
      <c r="AE209" s="5">
        <f t="shared" si="35"/>
        <v>0.56</v>
      </c>
      <c r="AF209" s="5">
        <f t="shared" si="35"/>
        <v>0.51</v>
      </c>
      <c r="AG209" s="5">
        <f t="shared" si="35"/>
        <v>0.47</v>
      </c>
      <c r="AH209" s="5">
        <f t="shared" si="27"/>
        <v>0.32</v>
      </c>
      <c r="AI209" s="5">
        <f t="shared" si="27"/>
        <v>0.24</v>
      </c>
      <c r="AJ209" s="5">
        <f t="shared" si="27"/>
        <v>0.2</v>
      </c>
    </row>
    <row r="210" spans="1:36">
      <c r="A210" t="str">
        <f>"casthouse_procurement_archetype_"&amp;TEXT(ROUND(Table21319[[#This Row],[2016]],1),"0.0")</f>
        <v>casthouse_procurement_archetype_9.5</v>
      </c>
      <c r="B210" s="5">
        <f t="shared" si="34"/>
        <v>9.5</v>
      </c>
      <c r="C210" s="5">
        <f t="shared" si="36"/>
        <v>9.5</v>
      </c>
      <c r="D210" s="5">
        <f t="shared" si="36"/>
        <v>9.5</v>
      </c>
      <c r="E210" s="5">
        <f t="shared" si="36"/>
        <v>9.27</v>
      </c>
      <c r="F210" s="5">
        <f t="shared" si="36"/>
        <v>8.72</v>
      </c>
      <c r="G210" s="5">
        <f t="shared" si="36"/>
        <v>8.8</v>
      </c>
      <c r="H210" s="5">
        <f t="shared" si="36"/>
        <v>8.56</v>
      </c>
      <c r="I210" s="5">
        <f t="shared" si="36"/>
        <v>8.09</v>
      </c>
      <c r="J210" s="5">
        <f t="shared" si="36"/>
        <v>7.83</v>
      </c>
      <c r="K210" s="5">
        <f t="shared" si="36"/>
        <v>7.56</v>
      </c>
      <c r="L210" s="5">
        <f t="shared" si="36"/>
        <v>7.14</v>
      </c>
      <c r="M210" s="5">
        <f t="shared" si="36"/>
        <v>7.09</v>
      </c>
      <c r="N210" s="5">
        <f t="shared" si="36"/>
        <v>6.74</v>
      </c>
      <c r="O210" s="5">
        <f t="shared" si="36"/>
        <v>6.38</v>
      </c>
      <c r="P210" s="5">
        <f t="shared" si="36"/>
        <v>5.96</v>
      </c>
      <c r="Q210" s="5">
        <f t="shared" si="36"/>
        <v>5.13</v>
      </c>
      <c r="R210" s="5">
        <f t="shared" si="36"/>
        <v>4.02</v>
      </c>
      <c r="S210" s="5">
        <f t="shared" si="35"/>
        <v>3.66</v>
      </c>
      <c r="T210" s="5">
        <f t="shared" si="35"/>
        <v>2.89</v>
      </c>
      <c r="U210" s="5">
        <f t="shared" si="35"/>
        <v>2.11</v>
      </c>
      <c r="V210" s="5">
        <f t="shared" si="35"/>
        <v>1.97</v>
      </c>
      <c r="W210" s="5">
        <f t="shared" si="35"/>
        <v>1.53</v>
      </c>
      <c r="X210" s="5">
        <f t="shared" si="35"/>
        <v>1.31</v>
      </c>
      <c r="Y210" s="5">
        <f t="shared" si="35"/>
        <v>1.08</v>
      </c>
      <c r="Z210" s="5">
        <f t="shared" si="35"/>
        <v>1.05</v>
      </c>
      <c r="AA210" s="5">
        <f t="shared" si="35"/>
        <v>0.94</v>
      </c>
      <c r="AB210" s="5">
        <f t="shared" si="35"/>
        <v>0.79</v>
      </c>
      <c r="AC210" s="5">
        <f t="shared" si="35"/>
        <v>0.67</v>
      </c>
      <c r="AD210" s="5">
        <f t="shared" si="35"/>
        <v>0.64</v>
      </c>
      <c r="AE210" s="5">
        <f t="shared" si="35"/>
        <v>0.56</v>
      </c>
      <c r="AF210" s="5">
        <f t="shared" si="35"/>
        <v>0.51</v>
      </c>
      <c r="AG210" s="5">
        <f t="shared" si="35"/>
        <v>0.47</v>
      </c>
      <c r="AH210" s="5">
        <f t="shared" si="27"/>
        <v>0.32</v>
      </c>
      <c r="AI210" s="5">
        <f t="shared" si="27"/>
        <v>0.24</v>
      </c>
      <c r="AJ210" s="5">
        <f t="shared" si="27"/>
        <v>0.2</v>
      </c>
    </row>
    <row r="211" spans="1:36">
      <c r="A211" t="str">
        <f>"casthouse_procurement_archetype_"&amp;TEXT(ROUND(Table21319[[#This Row],[2016]],1),"0.0")</f>
        <v>casthouse_procurement_archetype_9.4</v>
      </c>
      <c r="B211" s="5">
        <f t="shared" si="34"/>
        <v>9.4</v>
      </c>
      <c r="C211" s="5">
        <f t="shared" si="36"/>
        <v>9.4</v>
      </c>
      <c r="D211" s="5">
        <f t="shared" si="36"/>
        <v>9.4</v>
      </c>
      <c r="E211" s="5">
        <f t="shared" si="36"/>
        <v>9.17</v>
      </c>
      <c r="F211" s="5">
        <f t="shared" si="36"/>
        <v>8.63</v>
      </c>
      <c r="G211" s="5">
        <f t="shared" si="36"/>
        <v>8.7</v>
      </c>
      <c r="H211" s="5">
        <f t="shared" si="36"/>
        <v>8.47</v>
      </c>
      <c r="I211" s="5">
        <f t="shared" si="36"/>
        <v>8.01</v>
      </c>
      <c r="J211" s="5">
        <f t="shared" si="36"/>
        <v>7.75</v>
      </c>
      <c r="K211" s="5">
        <f t="shared" si="36"/>
        <v>7.48</v>
      </c>
      <c r="L211" s="5">
        <f t="shared" si="36"/>
        <v>7.07</v>
      </c>
      <c r="M211" s="5">
        <f t="shared" si="36"/>
        <v>7.01</v>
      </c>
      <c r="N211" s="5">
        <f t="shared" si="36"/>
        <v>6.67</v>
      </c>
      <c r="O211" s="5">
        <f t="shared" si="36"/>
        <v>6.32</v>
      </c>
      <c r="P211" s="5">
        <f t="shared" si="36"/>
        <v>5.9</v>
      </c>
      <c r="Q211" s="5">
        <f t="shared" si="36"/>
        <v>5.08</v>
      </c>
      <c r="R211" s="5">
        <f t="shared" si="36"/>
        <v>3.98</v>
      </c>
      <c r="S211" s="5">
        <f t="shared" si="35"/>
        <v>3.63</v>
      </c>
      <c r="T211" s="5">
        <f t="shared" si="35"/>
        <v>2.86</v>
      </c>
      <c r="U211" s="5">
        <f t="shared" si="35"/>
        <v>2.09</v>
      </c>
      <c r="V211" s="5">
        <f t="shared" si="35"/>
        <v>1.95</v>
      </c>
      <c r="W211" s="5">
        <f t="shared" si="35"/>
        <v>1.52</v>
      </c>
      <c r="X211" s="5">
        <f t="shared" si="35"/>
        <v>1.3</v>
      </c>
      <c r="Y211" s="5">
        <f t="shared" si="35"/>
        <v>1.07</v>
      </c>
      <c r="Z211" s="5">
        <f t="shared" si="35"/>
        <v>1.04</v>
      </c>
      <c r="AA211" s="5">
        <f t="shared" si="35"/>
        <v>0.94</v>
      </c>
      <c r="AB211" s="5">
        <f t="shared" si="35"/>
        <v>0.78</v>
      </c>
      <c r="AC211" s="5">
        <f t="shared" si="35"/>
        <v>0.66</v>
      </c>
      <c r="AD211" s="5">
        <f t="shared" si="35"/>
        <v>0.64</v>
      </c>
      <c r="AE211" s="5">
        <f t="shared" si="35"/>
        <v>0.56</v>
      </c>
      <c r="AF211" s="5">
        <f t="shared" si="35"/>
        <v>0.51</v>
      </c>
      <c r="AG211" s="5">
        <f t="shared" si="35"/>
        <v>0.47</v>
      </c>
      <c r="AH211" s="5">
        <f t="shared" ref="AH211:AJ274" si="37">MROUND((($B211-$AJ$2)*((AH$2-$AJ$2)/($B$2-$AJ$2)))+$AJ$2,0.01)</f>
        <v>0.32</v>
      </c>
      <c r="AI211" s="5">
        <f t="shared" si="37"/>
        <v>0.24</v>
      </c>
      <c r="AJ211" s="5">
        <f t="shared" si="37"/>
        <v>0.2</v>
      </c>
    </row>
    <row r="212" spans="1:36">
      <c r="A212" t="str">
        <f>"casthouse_procurement_archetype_"&amp;TEXT(ROUND(Table21319[[#This Row],[2016]],1),"0.0")</f>
        <v>casthouse_procurement_archetype_9.3</v>
      </c>
      <c r="B212" s="5">
        <f t="shared" si="34"/>
        <v>9.3</v>
      </c>
      <c r="C212" s="5">
        <f t="shared" si="36"/>
        <v>9.3</v>
      </c>
      <c r="D212" s="5">
        <f t="shared" si="36"/>
        <v>9.3</v>
      </c>
      <c r="E212" s="5">
        <f t="shared" si="36"/>
        <v>9.08</v>
      </c>
      <c r="F212" s="5">
        <f t="shared" si="36"/>
        <v>8.54</v>
      </c>
      <c r="G212" s="5">
        <f t="shared" si="36"/>
        <v>8.61</v>
      </c>
      <c r="H212" s="5">
        <f t="shared" si="36"/>
        <v>8.38</v>
      </c>
      <c r="I212" s="5">
        <f t="shared" si="36"/>
        <v>7.92</v>
      </c>
      <c r="J212" s="5">
        <f t="shared" si="36"/>
        <v>7.67</v>
      </c>
      <c r="K212" s="5">
        <f t="shared" si="36"/>
        <v>7.4</v>
      </c>
      <c r="L212" s="5">
        <f t="shared" si="36"/>
        <v>6.99</v>
      </c>
      <c r="M212" s="5">
        <f t="shared" si="36"/>
        <v>6.94</v>
      </c>
      <c r="N212" s="5">
        <f t="shared" si="36"/>
        <v>6.6</v>
      </c>
      <c r="O212" s="5">
        <f t="shared" si="36"/>
        <v>6.25</v>
      </c>
      <c r="P212" s="5">
        <f t="shared" si="36"/>
        <v>5.83</v>
      </c>
      <c r="Q212" s="5">
        <f t="shared" si="36"/>
        <v>5.03</v>
      </c>
      <c r="R212" s="5">
        <f t="shared" si="36"/>
        <v>3.94</v>
      </c>
      <c r="S212" s="5">
        <f t="shared" si="35"/>
        <v>3.59</v>
      </c>
      <c r="T212" s="5">
        <f t="shared" si="35"/>
        <v>2.83</v>
      </c>
      <c r="U212" s="5">
        <f t="shared" si="35"/>
        <v>2.07</v>
      </c>
      <c r="V212" s="5">
        <f t="shared" si="35"/>
        <v>1.93</v>
      </c>
      <c r="W212" s="5">
        <f t="shared" si="35"/>
        <v>1.5</v>
      </c>
      <c r="X212" s="5">
        <f t="shared" si="35"/>
        <v>1.29</v>
      </c>
      <c r="Y212" s="5">
        <f t="shared" si="35"/>
        <v>1.06</v>
      </c>
      <c r="Z212" s="5">
        <f t="shared" si="35"/>
        <v>1.03</v>
      </c>
      <c r="AA212" s="5">
        <f t="shared" si="35"/>
        <v>0.93</v>
      </c>
      <c r="AB212" s="5">
        <f t="shared" si="35"/>
        <v>0.78</v>
      </c>
      <c r="AC212" s="5">
        <f t="shared" si="35"/>
        <v>0.66</v>
      </c>
      <c r="AD212" s="5">
        <f t="shared" si="35"/>
        <v>0.64</v>
      </c>
      <c r="AE212" s="5">
        <f t="shared" si="35"/>
        <v>0.55</v>
      </c>
      <c r="AF212" s="5">
        <f t="shared" si="35"/>
        <v>0.5</v>
      </c>
      <c r="AG212" s="5">
        <f t="shared" si="35"/>
        <v>0.46</v>
      </c>
      <c r="AH212" s="5">
        <f t="shared" si="37"/>
        <v>0.32</v>
      </c>
      <c r="AI212" s="5">
        <f t="shared" si="37"/>
        <v>0.24</v>
      </c>
      <c r="AJ212" s="5">
        <f t="shared" si="37"/>
        <v>0.2</v>
      </c>
    </row>
    <row r="213" spans="1:36">
      <c r="A213" t="str">
        <f>"casthouse_procurement_archetype_"&amp;TEXT(ROUND(Table21319[[#This Row],[2016]],1),"0.0")</f>
        <v>casthouse_procurement_archetype_9.2</v>
      </c>
      <c r="B213" s="5">
        <f t="shared" si="34"/>
        <v>9.2</v>
      </c>
      <c r="C213" s="5">
        <f t="shared" si="36"/>
        <v>9.2</v>
      </c>
      <c r="D213" s="5">
        <f t="shared" si="36"/>
        <v>9.2</v>
      </c>
      <c r="E213" s="5">
        <f t="shared" si="36"/>
        <v>8.98</v>
      </c>
      <c r="F213" s="5">
        <f t="shared" si="36"/>
        <v>8.44</v>
      </c>
      <c r="G213" s="5">
        <f t="shared" si="36"/>
        <v>8.52</v>
      </c>
      <c r="H213" s="5">
        <f t="shared" si="36"/>
        <v>8.29</v>
      </c>
      <c r="I213" s="5">
        <f t="shared" si="36"/>
        <v>7.84</v>
      </c>
      <c r="J213" s="5">
        <f t="shared" si="36"/>
        <v>7.58</v>
      </c>
      <c r="K213" s="5">
        <f t="shared" si="36"/>
        <v>7.33</v>
      </c>
      <c r="L213" s="5">
        <f t="shared" si="36"/>
        <v>6.92</v>
      </c>
      <c r="M213" s="5">
        <f t="shared" si="36"/>
        <v>6.87</v>
      </c>
      <c r="N213" s="5">
        <f t="shared" si="36"/>
        <v>6.53</v>
      </c>
      <c r="O213" s="5">
        <f t="shared" si="36"/>
        <v>6.18</v>
      </c>
      <c r="P213" s="5">
        <f t="shared" si="36"/>
        <v>5.77</v>
      </c>
      <c r="Q213" s="5">
        <f t="shared" si="36"/>
        <v>4.97</v>
      </c>
      <c r="R213" s="5">
        <f t="shared" si="36"/>
        <v>3.89</v>
      </c>
      <c r="S213" s="5">
        <f t="shared" si="35"/>
        <v>3.55</v>
      </c>
      <c r="T213" s="5">
        <f t="shared" si="35"/>
        <v>2.8</v>
      </c>
      <c r="U213" s="5">
        <f t="shared" si="35"/>
        <v>2.05</v>
      </c>
      <c r="V213" s="5">
        <f t="shared" si="35"/>
        <v>1.91</v>
      </c>
      <c r="W213" s="5">
        <f t="shared" si="35"/>
        <v>1.49</v>
      </c>
      <c r="X213" s="5">
        <f t="shared" si="35"/>
        <v>1.28</v>
      </c>
      <c r="Y213" s="5">
        <f t="shared" si="35"/>
        <v>1.05</v>
      </c>
      <c r="Z213" s="5">
        <f t="shared" si="35"/>
        <v>1.02</v>
      </c>
      <c r="AA213" s="5">
        <f t="shared" si="35"/>
        <v>0.92</v>
      </c>
      <c r="AB213" s="5">
        <f t="shared" si="35"/>
        <v>0.77</v>
      </c>
      <c r="AC213" s="5">
        <f t="shared" si="35"/>
        <v>0.65</v>
      </c>
      <c r="AD213" s="5">
        <f t="shared" si="35"/>
        <v>0.63</v>
      </c>
      <c r="AE213" s="5">
        <f t="shared" si="35"/>
        <v>0.55</v>
      </c>
      <c r="AF213" s="5">
        <f t="shared" si="35"/>
        <v>0.5</v>
      </c>
      <c r="AG213" s="5">
        <f t="shared" si="35"/>
        <v>0.46</v>
      </c>
      <c r="AH213" s="5">
        <f t="shared" si="37"/>
        <v>0.32</v>
      </c>
      <c r="AI213" s="5">
        <f t="shared" si="37"/>
        <v>0.24</v>
      </c>
      <c r="AJ213" s="5">
        <f t="shared" si="37"/>
        <v>0.2</v>
      </c>
    </row>
    <row r="214" spans="1:36">
      <c r="A214" t="str">
        <f>"casthouse_procurement_archetype_"&amp;TEXT(ROUND(Table21319[[#This Row],[2016]],1),"0.0")</f>
        <v>casthouse_procurement_archetype_9.1</v>
      </c>
      <c r="B214" s="5">
        <f t="shared" si="34"/>
        <v>9.1</v>
      </c>
      <c r="C214" s="5">
        <f t="shared" si="36"/>
        <v>9.1</v>
      </c>
      <c r="D214" s="5">
        <f t="shared" si="36"/>
        <v>9.1</v>
      </c>
      <c r="E214" s="5">
        <f t="shared" si="36"/>
        <v>8.88</v>
      </c>
      <c r="F214" s="5">
        <f t="shared" si="36"/>
        <v>8.35</v>
      </c>
      <c r="G214" s="5">
        <f t="shared" si="36"/>
        <v>8.43</v>
      </c>
      <c r="H214" s="5">
        <f t="shared" si="36"/>
        <v>8.2</v>
      </c>
      <c r="I214" s="5">
        <f t="shared" si="36"/>
        <v>7.75</v>
      </c>
      <c r="J214" s="5">
        <f t="shared" si="36"/>
        <v>7.5</v>
      </c>
      <c r="K214" s="5">
        <f t="shared" si="36"/>
        <v>7.25</v>
      </c>
      <c r="L214" s="5">
        <f t="shared" si="36"/>
        <v>6.84</v>
      </c>
      <c r="M214" s="5">
        <f t="shared" si="36"/>
        <v>6.79</v>
      </c>
      <c r="N214" s="5">
        <f t="shared" si="36"/>
        <v>6.46</v>
      </c>
      <c r="O214" s="5">
        <f t="shared" si="36"/>
        <v>6.12</v>
      </c>
      <c r="P214" s="5">
        <f t="shared" si="36"/>
        <v>5.71</v>
      </c>
      <c r="Q214" s="5">
        <f t="shared" si="36"/>
        <v>4.92</v>
      </c>
      <c r="R214" s="5">
        <f t="shared" si="36"/>
        <v>3.85</v>
      </c>
      <c r="S214" s="5">
        <f t="shared" si="35"/>
        <v>3.51</v>
      </c>
      <c r="T214" s="5">
        <f t="shared" si="35"/>
        <v>2.77</v>
      </c>
      <c r="U214" s="5">
        <f t="shared" si="35"/>
        <v>2.03</v>
      </c>
      <c r="V214" s="5">
        <f t="shared" si="35"/>
        <v>1.89</v>
      </c>
      <c r="W214" s="5">
        <f t="shared" si="35"/>
        <v>1.48</v>
      </c>
      <c r="X214" s="5">
        <f t="shared" si="35"/>
        <v>1.27</v>
      </c>
      <c r="Y214" s="5">
        <f t="shared" si="35"/>
        <v>1.05</v>
      </c>
      <c r="Z214" s="5">
        <f t="shared" si="35"/>
        <v>1.01</v>
      </c>
      <c r="AA214" s="5">
        <f t="shared" si="35"/>
        <v>0.91</v>
      </c>
      <c r="AB214" s="5">
        <f t="shared" si="35"/>
        <v>0.77</v>
      </c>
      <c r="AC214" s="5">
        <f t="shared" si="35"/>
        <v>0.65</v>
      </c>
      <c r="AD214" s="5">
        <f t="shared" si="35"/>
        <v>0.63</v>
      </c>
      <c r="AE214" s="5">
        <f t="shared" si="35"/>
        <v>0.55</v>
      </c>
      <c r="AF214" s="5">
        <f t="shared" si="35"/>
        <v>0.5</v>
      </c>
      <c r="AG214" s="5">
        <f t="shared" si="35"/>
        <v>0.46</v>
      </c>
      <c r="AH214" s="5">
        <f t="shared" si="37"/>
        <v>0.32</v>
      </c>
      <c r="AI214" s="5">
        <f t="shared" si="37"/>
        <v>0.24</v>
      </c>
      <c r="AJ214" s="5">
        <f t="shared" si="37"/>
        <v>0.2</v>
      </c>
    </row>
    <row r="215" spans="1:36">
      <c r="A215" t="str">
        <f>"casthouse_procurement_archetype_"&amp;TEXT(ROUND(Table21319[[#This Row],[2016]],1),"0.0")</f>
        <v>casthouse_procurement_archetype_9.0</v>
      </c>
      <c r="B215" s="5">
        <f t="shared" si="34"/>
        <v>9</v>
      </c>
      <c r="C215" s="5">
        <f t="shared" si="36"/>
        <v>9</v>
      </c>
      <c r="D215" s="5">
        <f t="shared" si="36"/>
        <v>9</v>
      </c>
      <c r="E215" s="5">
        <f t="shared" si="36"/>
        <v>8.78</v>
      </c>
      <c r="F215" s="5">
        <f t="shared" si="36"/>
        <v>8.26</v>
      </c>
      <c r="G215" s="5">
        <f t="shared" si="36"/>
        <v>8.33</v>
      </c>
      <c r="H215" s="5">
        <f t="shared" si="36"/>
        <v>8.11</v>
      </c>
      <c r="I215" s="5">
        <f t="shared" si="36"/>
        <v>7.67</v>
      </c>
      <c r="J215" s="5">
        <f t="shared" si="36"/>
        <v>7.42</v>
      </c>
      <c r="K215" s="5">
        <f t="shared" si="36"/>
        <v>7.17</v>
      </c>
      <c r="L215" s="5">
        <f t="shared" si="36"/>
        <v>6.77</v>
      </c>
      <c r="M215" s="5">
        <f t="shared" si="36"/>
        <v>6.72</v>
      </c>
      <c r="N215" s="5">
        <f t="shared" si="36"/>
        <v>6.39</v>
      </c>
      <c r="O215" s="5">
        <f t="shared" si="36"/>
        <v>6.05</v>
      </c>
      <c r="P215" s="5">
        <f t="shared" si="36"/>
        <v>5.65</v>
      </c>
      <c r="Q215" s="5">
        <f t="shared" si="36"/>
        <v>4.87</v>
      </c>
      <c r="R215" s="5">
        <f t="shared" si="36"/>
        <v>3.81</v>
      </c>
      <c r="S215" s="5">
        <f t="shared" si="35"/>
        <v>3.48</v>
      </c>
      <c r="T215" s="5">
        <f t="shared" si="35"/>
        <v>2.75</v>
      </c>
      <c r="U215" s="5">
        <f t="shared" si="35"/>
        <v>2.01</v>
      </c>
      <c r="V215" s="5">
        <f t="shared" si="35"/>
        <v>1.87</v>
      </c>
      <c r="W215" s="5">
        <f t="shared" si="35"/>
        <v>1.46</v>
      </c>
      <c r="X215" s="5">
        <f t="shared" si="35"/>
        <v>1.25</v>
      </c>
      <c r="Y215" s="5">
        <f t="shared" si="35"/>
        <v>1.04</v>
      </c>
      <c r="Z215" s="5">
        <f t="shared" si="35"/>
        <v>1</v>
      </c>
      <c r="AA215" s="5">
        <f t="shared" si="35"/>
        <v>0.9</v>
      </c>
      <c r="AB215" s="5">
        <f t="shared" si="35"/>
        <v>0.76</v>
      </c>
      <c r="AC215" s="5">
        <f t="shared" si="35"/>
        <v>0.64</v>
      </c>
      <c r="AD215" s="5">
        <f t="shared" si="35"/>
        <v>0.62</v>
      </c>
      <c r="AE215" s="5">
        <f t="shared" si="35"/>
        <v>0.54</v>
      </c>
      <c r="AF215" s="5">
        <f t="shared" si="35"/>
        <v>0.49</v>
      </c>
      <c r="AG215" s="5">
        <f t="shared" si="35"/>
        <v>0.45</v>
      </c>
      <c r="AH215" s="5">
        <f t="shared" si="37"/>
        <v>0.32</v>
      </c>
      <c r="AI215" s="5">
        <f t="shared" si="37"/>
        <v>0.24</v>
      </c>
      <c r="AJ215" s="5">
        <f t="shared" si="37"/>
        <v>0.2</v>
      </c>
    </row>
    <row r="216" spans="1:36">
      <c r="A216" t="str">
        <f>"casthouse_procurement_archetype_"&amp;TEXT(ROUND(Table21319[[#This Row],[2016]],1),"0.0")</f>
        <v>casthouse_procurement_archetype_8.9</v>
      </c>
      <c r="B216" s="5">
        <f t="shared" si="34"/>
        <v>8.9</v>
      </c>
      <c r="C216" s="5">
        <f t="shared" si="36"/>
        <v>8.9</v>
      </c>
      <c r="D216" s="5">
        <f t="shared" si="36"/>
        <v>8.9</v>
      </c>
      <c r="E216" s="5">
        <f t="shared" si="36"/>
        <v>8.69</v>
      </c>
      <c r="F216" s="5">
        <f t="shared" si="36"/>
        <v>8.17</v>
      </c>
      <c r="G216" s="5">
        <f t="shared" si="36"/>
        <v>8.24</v>
      </c>
      <c r="H216" s="5">
        <f t="shared" si="36"/>
        <v>8.02</v>
      </c>
      <c r="I216" s="5">
        <f t="shared" si="36"/>
        <v>7.58</v>
      </c>
      <c r="J216" s="5">
        <f t="shared" si="36"/>
        <v>7.34</v>
      </c>
      <c r="K216" s="5">
        <f t="shared" si="36"/>
        <v>7.09</v>
      </c>
      <c r="L216" s="5">
        <f t="shared" si="36"/>
        <v>6.69</v>
      </c>
      <c r="M216" s="5">
        <f t="shared" si="36"/>
        <v>6.64</v>
      </c>
      <c r="N216" s="5">
        <f t="shared" si="36"/>
        <v>6.32</v>
      </c>
      <c r="O216" s="5">
        <f t="shared" si="36"/>
        <v>5.98</v>
      </c>
      <c r="P216" s="5">
        <f t="shared" si="36"/>
        <v>5.59</v>
      </c>
      <c r="Q216" s="5">
        <f t="shared" si="36"/>
        <v>4.81</v>
      </c>
      <c r="R216" s="5">
        <f t="shared" si="36"/>
        <v>3.77</v>
      </c>
      <c r="S216" s="5">
        <f t="shared" si="35"/>
        <v>3.44</v>
      </c>
      <c r="T216" s="5">
        <f t="shared" si="35"/>
        <v>2.72</v>
      </c>
      <c r="U216" s="5">
        <f t="shared" si="35"/>
        <v>1.99</v>
      </c>
      <c r="V216" s="5">
        <f t="shared" si="35"/>
        <v>1.85</v>
      </c>
      <c r="W216" s="5">
        <f t="shared" si="35"/>
        <v>1.45</v>
      </c>
      <c r="X216" s="5">
        <f t="shared" si="35"/>
        <v>1.24</v>
      </c>
      <c r="Y216" s="5">
        <f t="shared" si="35"/>
        <v>1.03</v>
      </c>
      <c r="Z216" s="5">
        <f t="shared" si="35"/>
        <v>0.99</v>
      </c>
      <c r="AA216" s="5">
        <f t="shared" si="35"/>
        <v>0.9</v>
      </c>
      <c r="AB216" s="5">
        <f t="shared" si="35"/>
        <v>0.75</v>
      </c>
      <c r="AC216" s="5">
        <f t="shared" si="35"/>
        <v>0.64</v>
      </c>
      <c r="AD216" s="5">
        <f t="shared" si="35"/>
        <v>0.62</v>
      </c>
      <c r="AE216" s="5">
        <f t="shared" si="35"/>
        <v>0.54</v>
      </c>
      <c r="AF216" s="5">
        <f t="shared" si="35"/>
        <v>0.49</v>
      </c>
      <c r="AG216" s="5">
        <f t="shared" si="35"/>
        <v>0.45</v>
      </c>
      <c r="AH216" s="5">
        <f t="shared" si="37"/>
        <v>0.31</v>
      </c>
      <c r="AI216" s="5">
        <f t="shared" si="37"/>
        <v>0.24</v>
      </c>
      <c r="AJ216" s="5">
        <f t="shared" si="37"/>
        <v>0.2</v>
      </c>
    </row>
    <row r="217" spans="1:36">
      <c r="A217" t="str">
        <f>"casthouse_procurement_archetype_"&amp;TEXT(ROUND(Table21319[[#This Row],[2016]],1),"0.0")</f>
        <v>casthouse_procurement_archetype_8.8</v>
      </c>
      <c r="B217" s="5">
        <f t="shared" si="34"/>
        <v>8.8</v>
      </c>
      <c r="C217" s="5">
        <f t="shared" si="36"/>
        <v>8.8</v>
      </c>
      <c r="D217" s="5">
        <f t="shared" si="36"/>
        <v>8.8</v>
      </c>
      <c r="E217" s="5">
        <f t="shared" si="36"/>
        <v>8.59</v>
      </c>
      <c r="F217" s="5">
        <f t="shared" si="36"/>
        <v>8.08</v>
      </c>
      <c r="G217" s="5">
        <f t="shared" si="36"/>
        <v>8.15</v>
      </c>
      <c r="H217" s="5">
        <f t="shared" si="36"/>
        <v>7.93</v>
      </c>
      <c r="I217" s="5">
        <f t="shared" si="36"/>
        <v>7.5</v>
      </c>
      <c r="J217" s="5">
        <f t="shared" si="36"/>
        <v>7.26</v>
      </c>
      <c r="K217" s="5">
        <f t="shared" si="36"/>
        <v>7.01</v>
      </c>
      <c r="L217" s="5">
        <f t="shared" si="36"/>
        <v>6.62</v>
      </c>
      <c r="M217" s="5">
        <f t="shared" si="36"/>
        <v>6.57</v>
      </c>
      <c r="N217" s="5">
        <f t="shared" si="36"/>
        <v>6.25</v>
      </c>
      <c r="O217" s="5">
        <f t="shared" si="36"/>
        <v>5.92</v>
      </c>
      <c r="P217" s="5">
        <f t="shared" si="36"/>
        <v>5.52</v>
      </c>
      <c r="Q217" s="5">
        <f t="shared" si="36"/>
        <v>4.76</v>
      </c>
      <c r="R217" s="5">
        <f t="shared" si="36"/>
        <v>3.73</v>
      </c>
      <c r="S217" s="5">
        <f t="shared" si="35"/>
        <v>3.4</v>
      </c>
      <c r="T217" s="5">
        <f t="shared" si="35"/>
        <v>2.69</v>
      </c>
      <c r="U217" s="5">
        <f t="shared" si="35"/>
        <v>1.97</v>
      </c>
      <c r="V217" s="5">
        <f t="shared" si="35"/>
        <v>1.84</v>
      </c>
      <c r="W217" s="5">
        <f t="shared" si="35"/>
        <v>1.43</v>
      </c>
      <c r="X217" s="5">
        <f t="shared" si="35"/>
        <v>1.23</v>
      </c>
      <c r="Y217" s="5">
        <f t="shared" si="35"/>
        <v>1.02</v>
      </c>
      <c r="Z217" s="5">
        <f t="shared" si="35"/>
        <v>0.98</v>
      </c>
      <c r="AA217" s="5">
        <f t="shared" si="35"/>
        <v>0.89</v>
      </c>
      <c r="AB217" s="5">
        <f t="shared" si="35"/>
        <v>0.75</v>
      </c>
      <c r="AC217" s="5">
        <f t="shared" si="35"/>
        <v>0.63</v>
      </c>
      <c r="AD217" s="5">
        <f t="shared" si="35"/>
        <v>0.61</v>
      </c>
      <c r="AE217" s="5">
        <f t="shared" si="35"/>
        <v>0.53</v>
      </c>
      <c r="AF217" s="5">
        <f t="shared" si="35"/>
        <v>0.49</v>
      </c>
      <c r="AG217" s="5">
        <f t="shared" si="35"/>
        <v>0.45</v>
      </c>
      <c r="AH217" s="5">
        <f t="shared" si="37"/>
        <v>0.31</v>
      </c>
      <c r="AI217" s="5">
        <f t="shared" si="37"/>
        <v>0.24</v>
      </c>
      <c r="AJ217" s="5">
        <f t="shared" si="37"/>
        <v>0.2</v>
      </c>
    </row>
    <row r="218" spans="1:36">
      <c r="A218" t="str">
        <f>"casthouse_procurement_archetype_"&amp;TEXT(ROUND(Table21319[[#This Row],[2016]],1),"0.0")</f>
        <v>casthouse_procurement_archetype_8.7</v>
      </c>
      <c r="B218" s="5">
        <f t="shared" si="34"/>
        <v>8.7</v>
      </c>
      <c r="C218" s="5">
        <f t="shared" si="36"/>
        <v>8.7</v>
      </c>
      <c r="D218" s="5">
        <f t="shared" si="36"/>
        <v>8.7</v>
      </c>
      <c r="E218" s="5">
        <f t="shared" si="36"/>
        <v>8.49</v>
      </c>
      <c r="F218" s="5">
        <f t="shared" si="36"/>
        <v>7.99</v>
      </c>
      <c r="G218" s="5">
        <f t="shared" si="36"/>
        <v>8.06</v>
      </c>
      <c r="H218" s="5">
        <f t="shared" si="36"/>
        <v>7.84</v>
      </c>
      <c r="I218" s="5">
        <f t="shared" si="36"/>
        <v>7.41</v>
      </c>
      <c r="J218" s="5">
        <f t="shared" si="36"/>
        <v>7.17</v>
      </c>
      <c r="K218" s="5">
        <f t="shared" si="36"/>
        <v>6.93</v>
      </c>
      <c r="L218" s="5">
        <f t="shared" si="36"/>
        <v>6.54</v>
      </c>
      <c r="M218" s="5">
        <f t="shared" si="36"/>
        <v>6.5</v>
      </c>
      <c r="N218" s="5">
        <f t="shared" si="36"/>
        <v>6.18</v>
      </c>
      <c r="O218" s="5">
        <f t="shared" si="36"/>
        <v>5.85</v>
      </c>
      <c r="P218" s="5">
        <f t="shared" si="36"/>
        <v>5.46</v>
      </c>
      <c r="Q218" s="5">
        <f t="shared" si="36"/>
        <v>4.71</v>
      </c>
      <c r="R218" s="5">
        <f t="shared" si="36"/>
        <v>3.69</v>
      </c>
      <c r="S218" s="5">
        <f t="shared" si="35"/>
        <v>3.36</v>
      </c>
      <c r="T218" s="5">
        <f t="shared" si="35"/>
        <v>2.66</v>
      </c>
      <c r="U218" s="5">
        <f t="shared" si="35"/>
        <v>1.95</v>
      </c>
      <c r="V218" s="5">
        <f t="shared" si="35"/>
        <v>1.82</v>
      </c>
      <c r="W218" s="5">
        <f t="shared" si="35"/>
        <v>1.42</v>
      </c>
      <c r="X218" s="5">
        <f t="shared" si="35"/>
        <v>1.22</v>
      </c>
      <c r="Y218" s="5">
        <f t="shared" si="35"/>
        <v>1.01</v>
      </c>
      <c r="Z218" s="5">
        <f t="shared" si="35"/>
        <v>0.97</v>
      </c>
      <c r="AA218" s="5">
        <f t="shared" si="35"/>
        <v>0.88</v>
      </c>
      <c r="AB218" s="5">
        <f t="shared" si="35"/>
        <v>0.74</v>
      </c>
      <c r="AC218" s="5">
        <f t="shared" si="35"/>
        <v>0.63</v>
      </c>
      <c r="AD218" s="5">
        <f t="shared" si="35"/>
        <v>0.61</v>
      </c>
      <c r="AE218" s="5">
        <f t="shared" si="35"/>
        <v>0.53</v>
      </c>
      <c r="AF218" s="5">
        <f t="shared" si="35"/>
        <v>0.48</v>
      </c>
      <c r="AG218" s="5">
        <f t="shared" si="35"/>
        <v>0.45</v>
      </c>
      <c r="AH218" s="5">
        <f t="shared" si="37"/>
        <v>0.31</v>
      </c>
      <c r="AI218" s="5">
        <f t="shared" si="37"/>
        <v>0.24</v>
      </c>
      <c r="AJ218" s="5">
        <f t="shared" si="37"/>
        <v>0.2</v>
      </c>
    </row>
    <row r="219" spans="1:36">
      <c r="A219" t="str">
        <f>"casthouse_procurement_archetype_"&amp;TEXT(ROUND(Table21319[[#This Row],[2016]],1),"0.0")</f>
        <v>casthouse_procurement_archetype_8.6</v>
      </c>
      <c r="B219" s="5">
        <f t="shared" si="34"/>
        <v>8.6</v>
      </c>
      <c r="C219" s="5">
        <f t="shared" si="36"/>
        <v>8.6</v>
      </c>
      <c r="D219" s="5">
        <f t="shared" si="36"/>
        <v>8.6</v>
      </c>
      <c r="E219" s="5">
        <f t="shared" si="36"/>
        <v>8.39</v>
      </c>
      <c r="F219" s="5">
        <f t="shared" si="36"/>
        <v>7.89</v>
      </c>
      <c r="G219" s="5">
        <f t="shared" si="36"/>
        <v>7.96</v>
      </c>
      <c r="H219" s="5">
        <f t="shared" si="36"/>
        <v>7.75</v>
      </c>
      <c r="I219" s="5">
        <f t="shared" si="36"/>
        <v>7.33</v>
      </c>
      <c r="J219" s="5">
        <f t="shared" si="36"/>
        <v>7.09</v>
      </c>
      <c r="K219" s="5">
        <f t="shared" si="36"/>
        <v>6.85</v>
      </c>
      <c r="L219" s="5">
        <f t="shared" si="36"/>
        <v>6.47</v>
      </c>
      <c r="M219" s="5">
        <f t="shared" si="36"/>
        <v>6.42</v>
      </c>
      <c r="N219" s="5">
        <f t="shared" si="36"/>
        <v>6.11</v>
      </c>
      <c r="O219" s="5">
        <f t="shared" si="36"/>
        <v>5.78</v>
      </c>
      <c r="P219" s="5">
        <f t="shared" si="36"/>
        <v>5.4</v>
      </c>
      <c r="Q219" s="5">
        <f t="shared" si="36"/>
        <v>4.65</v>
      </c>
      <c r="R219" s="5">
        <f t="shared" si="36"/>
        <v>3.65</v>
      </c>
      <c r="S219" s="5">
        <f t="shared" si="35"/>
        <v>3.33</v>
      </c>
      <c r="T219" s="5">
        <f t="shared" si="35"/>
        <v>2.63</v>
      </c>
      <c r="U219" s="5">
        <f t="shared" si="35"/>
        <v>1.93</v>
      </c>
      <c r="V219" s="5">
        <f t="shared" si="35"/>
        <v>1.8</v>
      </c>
      <c r="W219" s="5">
        <f t="shared" si="35"/>
        <v>1.4</v>
      </c>
      <c r="X219" s="5">
        <f t="shared" si="35"/>
        <v>1.21</v>
      </c>
      <c r="Y219" s="5">
        <f t="shared" si="35"/>
        <v>1</v>
      </c>
      <c r="Z219" s="5">
        <f t="shared" si="35"/>
        <v>0.97</v>
      </c>
      <c r="AA219" s="5">
        <f t="shared" si="35"/>
        <v>0.87</v>
      </c>
      <c r="AB219" s="5">
        <f t="shared" si="35"/>
        <v>0.73</v>
      </c>
      <c r="AC219" s="5">
        <f t="shared" si="35"/>
        <v>0.62</v>
      </c>
      <c r="AD219" s="5">
        <f t="shared" si="35"/>
        <v>0.6</v>
      </c>
      <c r="AE219" s="5">
        <f t="shared" si="35"/>
        <v>0.53</v>
      </c>
      <c r="AF219" s="5">
        <f t="shared" si="35"/>
        <v>0.48</v>
      </c>
      <c r="AG219" s="5">
        <f t="shared" si="35"/>
        <v>0.44</v>
      </c>
      <c r="AH219" s="5">
        <f t="shared" si="37"/>
        <v>0.31</v>
      </c>
      <c r="AI219" s="5">
        <f t="shared" si="37"/>
        <v>0.24</v>
      </c>
      <c r="AJ219" s="5">
        <f t="shared" si="37"/>
        <v>0.2</v>
      </c>
    </row>
    <row r="220" spans="1:36">
      <c r="A220" t="str">
        <f>"casthouse_procurement_archetype_"&amp;TEXT(ROUND(Table21319[[#This Row],[2016]],1),"0.0")</f>
        <v>casthouse_procurement_archetype_8.5</v>
      </c>
      <c r="B220" s="5">
        <f t="shared" si="34"/>
        <v>8.5</v>
      </c>
      <c r="C220" s="5">
        <f t="shared" si="36"/>
        <v>8.5</v>
      </c>
      <c r="D220" s="5">
        <f t="shared" si="36"/>
        <v>8.5</v>
      </c>
      <c r="E220" s="5">
        <f t="shared" si="36"/>
        <v>8.3</v>
      </c>
      <c r="F220" s="5">
        <f t="shared" si="36"/>
        <v>7.8</v>
      </c>
      <c r="G220" s="5">
        <f t="shared" si="36"/>
        <v>7.87</v>
      </c>
      <c r="H220" s="5">
        <f t="shared" si="36"/>
        <v>7.66</v>
      </c>
      <c r="I220" s="5">
        <f t="shared" si="36"/>
        <v>7.24</v>
      </c>
      <c r="J220" s="5">
        <f t="shared" si="36"/>
        <v>7.01</v>
      </c>
      <c r="K220" s="5">
        <f t="shared" si="36"/>
        <v>6.77</v>
      </c>
      <c r="L220" s="5">
        <f t="shared" si="36"/>
        <v>6.39</v>
      </c>
      <c r="M220" s="5">
        <f t="shared" si="36"/>
        <v>6.35</v>
      </c>
      <c r="N220" s="5">
        <f t="shared" si="36"/>
        <v>6.04</v>
      </c>
      <c r="O220" s="5">
        <f t="shared" si="36"/>
        <v>5.72</v>
      </c>
      <c r="P220" s="5">
        <f t="shared" si="36"/>
        <v>5.34</v>
      </c>
      <c r="Q220" s="5">
        <f t="shared" si="36"/>
        <v>4.6</v>
      </c>
      <c r="R220" s="5">
        <f t="shared" ref="R220:AG235" si="38">MROUND((($B220-$AJ$2)*((R$2-$AJ$2)/($B$2-$AJ$2)))+$AJ$2,0.01)</f>
        <v>3.61</v>
      </c>
      <c r="S220" s="5">
        <f t="shared" si="38"/>
        <v>3.29</v>
      </c>
      <c r="T220" s="5">
        <f t="shared" si="38"/>
        <v>2.6</v>
      </c>
      <c r="U220" s="5">
        <f t="shared" si="38"/>
        <v>1.91</v>
      </c>
      <c r="V220" s="5">
        <f t="shared" si="38"/>
        <v>1.78</v>
      </c>
      <c r="W220" s="5">
        <f t="shared" si="38"/>
        <v>1.39</v>
      </c>
      <c r="X220" s="5">
        <f t="shared" si="38"/>
        <v>1.19</v>
      </c>
      <c r="Y220" s="5">
        <f t="shared" si="38"/>
        <v>0.99</v>
      </c>
      <c r="Z220" s="5">
        <f t="shared" si="38"/>
        <v>0.96</v>
      </c>
      <c r="AA220" s="5">
        <f t="shared" si="38"/>
        <v>0.86</v>
      </c>
      <c r="AB220" s="5">
        <f t="shared" si="38"/>
        <v>0.73</v>
      </c>
      <c r="AC220" s="5">
        <f t="shared" si="38"/>
        <v>0.62</v>
      </c>
      <c r="AD220" s="5">
        <f t="shared" si="38"/>
        <v>0.6</v>
      </c>
      <c r="AE220" s="5">
        <f t="shared" si="38"/>
        <v>0.52</v>
      </c>
      <c r="AF220" s="5">
        <f t="shared" si="38"/>
        <v>0.48</v>
      </c>
      <c r="AG220" s="5">
        <f t="shared" si="38"/>
        <v>0.44</v>
      </c>
      <c r="AH220" s="5">
        <f t="shared" si="37"/>
        <v>0.31</v>
      </c>
      <c r="AI220" s="5">
        <f t="shared" si="37"/>
        <v>0.24</v>
      </c>
      <c r="AJ220" s="5">
        <f t="shared" si="37"/>
        <v>0.2</v>
      </c>
    </row>
    <row r="221" spans="1:36">
      <c r="A221" t="str">
        <f>"casthouse_procurement_archetype_"&amp;TEXT(ROUND(Table21319[[#This Row],[2016]],1),"0.0")</f>
        <v>casthouse_procurement_archetype_8.4</v>
      </c>
      <c r="B221" s="5">
        <f t="shared" si="34"/>
        <v>8.4</v>
      </c>
      <c r="C221" s="5">
        <f t="shared" ref="C221:R236" si="39">MROUND((($B221-$AJ$2)*((C$2-$AJ$2)/($B$2-$AJ$2)))+$AJ$2,0.01)</f>
        <v>8.4</v>
      </c>
      <c r="D221" s="5">
        <f t="shared" si="39"/>
        <v>8.4</v>
      </c>
      <c r="E221" s="5">
        <f t="shared" si="39"/>
        <v>8.2</v>
      </c>
      <c r="F221" s="5">
        <f t="shared" si="39"/>
        <v>7.71</v>
      </c>
      <c r="G221" s="5">
        <f t="shared" si="39"/>
        <v>7.78</v>
      </c>
      <c r="H221" s="5">
        <f t="shared" si="39"/>
        <v>7.57</v>
      </c>
      <c r="I221" s="5">
        <f t="shared" si="39"/>
        <v>7.16</v>
      </c>
      <c r="J221" s="5">
        <f t="shared" si="39"/>
        <v>6.93</v>
      </c>
      <c r="K221" s="5">
        <f t="shared" si="39"/>
        <v>6.69</v>
      </c>
      <c r="L221" s="5">
        <f t="shared" si="39"/>
        <v>6.32</v>
      </c>
      <c r="M221" s="5">
        <f t="shared" si="39"/>
        <v>6.27</v>
      </c>
      <c r="N221" s="5">
        <f t="shared" si="39"/>
        <v>5.97</v>
      </c>
      <c r="O221" s="5">
        <f t="shared" si="39"/>
        <v>5.65</v>
      </c>
      <c r="P221" s="5">
        <f t="shared" si="39"/>
        <v>5.28</v>
      </c>
      <c r="Q221" s="5">
        <f t="shared" si="39"/>
        <v>4.55</v>
      </c>
      <c r="R221" s="5">
        <f t="shared" si="39"/>
        <v>3.57</v>
      </c>
      <c r="S221" s="5">
        <f t="shared" si="38"/>
        <v>3.25</v>
      </c>
      <c r="T221" s="5">
        <f t="shared" si="38"/>
        <v>2.57</v>
      </c>
      <c r="U221" s="5">
        <f t="shared" si="38"/>
        <v>1.89</v>
      </c>
      <c r="V221" s="5">
        <f t="shared" si="38"/>
        <v>1.76</v>
      </c>
      <c r="W221" s="5">
        <f t="shared" si="38"/>
        <v>1.38</v>
      </c>
      <c r="X221" s="5">
        <f t="shared" si="38"/>
        <v>1.18</v>
      </c>
      <c r="Y221" s="5">
        <f t="shared" si="38"/>
        <v>0.98</v>
      </c>
      <c r="Z221" s="5">
        <f t="shared" si="38"/>
        <v>0.95</v>
      </c>
      <c r="AA221" s="5">
        <f t="shared" si="38"/>
        <v>0.86</v>
      </c>
      <c r="AB221" s="5">
        <f t="shared" si="38"/>
        <v>0.72</v>
      </c>
      <c r="AC221" s="5">
        <f t="shared" si="38"/>
        <v>0.61</v>
      </c>
      <c r="AD221" s="5">
        <f t="shared" si="38"/>
        <v>0.59</v>
      </c>
      <c r="AE221" s="5">
        <f t="shared" si="38"/>
        <v>0.52</v>
      </c>
      <c r="AF221" s="5">
        <f t="shared" si="38"/>
        <v>0.47</v>
      </c>
      <c r="AG221" s="5">
        <f t="shared" si="38"/>
        <v>0.44</v>
      </c>
      <c r="AH221" s="5">
        <f t="shared" si="37"/>
        <v>0.31</v>
      </c>
      <c r="AI221" s="5">
        <f t="shared" si="37"/>
        <v>0.24</v>
      </c>
      <c r="AJ221" s="5">
        <f t="shared" si="37"/>
        <v>0.2</v>
      </c>
    </row>
    <row r="222" spans="1:36">
      <c r="A222" t="str">
        <f>"casthouse_procurement_archetype_"&amp;TEXT(ROUND(Table21319[[#This Row],[2016]],1),"0.0")</f>
        <v>casthouse_procurement_archetype_8.3</v>
      </c>
      <c r="B222" s="5">
        <f t="shared" si="34"/>
        <v>8.3</v>
      </c>
      <c r="C222" s="5">
        <f t="shared" si="39"/>
        <v>8.3</v>
      </c>
      <c r="D222" s="5">
        <f t="shared" si="39"/>
        <v>8.3</v>
      </c>
      <c r="E222" s="5">
        <f t="shared" si="39"/>
        <v>8.1</v>
      </c>
      <c r="F222" s="5">
        <f t="shared" si="39"/>
        <v>7.62</v>
      </c>
      <c r="G222" s="5">
        <f t="shared" si="39"/>
        <v>7.69</v>
      </c>
      <c r="H222" s="5">
        <f t="shared" si="39"/>
        <v>7.48</v>
      </c>
      <c r="I222" s="5">
        <f t="shared" si="39"/>
        <v>7.07</v>
      </c>
      <c r="J222" s="5">
        <f t="shared" si="39"/>
        <v>6.85</v>
      </c>
      <c r="K222" s="5">
        <f t="shared" si="39"/>
        <v>6.61</v>
      </c>
      <c r="L222" s="5">
        <f t="shared" si="39"/>
        <v>6.24</v>
      </c>
      <c r="M222" s="5">
        <f t="shared" si="39"/>
        <v>6.2</v>
      </c>
      <c r="N222" s="5">
        <f t="shared" si="39"/>
        <v>5.9</v>
      </c>
      <c r="O222" s="5">
        <f t="shared" si="39"/>
        <v>5.58</v>
      </c>
      <c r="P222" s="5">
        <f t="shared" si="39"/>
        <v>5.21</v>
      </c>
      <c r="Q222" s="5">
        <f t="shared" si="39"/>
        <v>4.5</v>
      </c>
      <c r="R222" s="5">
        <f t="shared" si="39"/>
        <v>3.53</v>
      </c>
      <c r="S222" s="5">
        <f t="shared" si="38"/>
        <v>3.22</v>
      </c>
      <c r="T222" s="5">
        <f t="shared" si="38"/>
        <v>2.54</v>
      </c>
      <c r="U222" s="5">
        <f t="shared" si="38"/>
        <v>1.87</v>
      </c>
      <c r="V222" s="5">
        <f t="shared" si="38"/>
        <v>1.74</v>
      </c>
      <c r="W222" s="5">
        <f t="shared" si="38"/>
        <v>1.36</v>
      </c>
      <c r="X222" s="5">
        <f t="shared" si="38"/>
        <v>1.17</v>
      </c>
      <c r="Y222" s="5">
        <f t="shared" si="38"/>
        <v>0.97</v>
      </c>
      <c r="Z222" s="5">
        <f t="shared" si="38"/>
        <v>0.94</v>
      </c>
      <c r="AA222" s="5">
        <f t="shared" si="38"/>
        <v>0.85</v>
      </c>
      <c r="AB222" s="5">
        <f t="shared" si="38"/>
        <v>0.71</v>
      </c>
      <c r="AC222" s="5">
        <f t="shared" si="38"/>
        <v>0.61</v>
      </c>
      <c r="AD222" s="5">
        <f t="shared" si="38"/>
        <v>0.59</v>
      </c>
      <c r="AE222" s="5">
        <f t="shared" si="38"/>
        <v>0.51</v>
      </c>
      <c r="AF222" s="5">
        <f t="shared" si="38"/>
        <v>0.47</v>
      </c>
      <c r="AG222" s="5">
        <f t="shared" si="38"/>
        <v>0.43</v>
      </c>
      <c r="AH222" s="5">
        <f t="shared" si="37"/>
        <v>0.31</v>
      </c>
      <c r="AI222" s="5">
        <f t="shared" si="37"/>
        <v>0.23</v>
      </c>
      <c r="AJ222" s="5">
        <f t="shared" si="37"/>
        <v>0.2</v>
      </c>
    </row>
    <row r="223" spans="1:36">
      <c r="A223" t="str">
        <f>"casthouse_procurement_archetype_"&amp;TEXT(ROUND(Table21319[[#This Row],[2016]],1),"0.0")</f>
        <v>casthouse_procurement_archetype_8.2</v>
      </c>
      <c r="B223" s="5">
        <f t="shared" si="34"/>
        <v>8.2</v>
      </c>
      <c r="C223" s="5">
        <f t="shared" si="39"/>
        <v>8.2</v>
      </c>
      <c r="D223" s="5">
        <f t="shared" si="39"/>
        <v>8.2</v>
      </c>
      <c r="E223" s="5">
        <f t="shared" si="39"/>
        <v>8</v>
      </c>
      <c r="F223" s="5">
        <f t="shared" si="39"/>
        <v>7.53</v>
      </c>
      <c r="G223" s="5">
        <f t="shared" si="39"/>
        <v>7.59</v>
      </c>
      <c r="H223" s="5">
        <f t="shared" si="39"/>
        <v>7.39</v>
      </c>
      <c r="I223" s="5">
        <f t="shared" si="39"/>
        <v>6.99</v>
      </c>
      <c r="J223" s="5">
        <f t="shared" si="39"/>
        <v>6.76</v>
      </c>
      <c r="K223" s="5">
        <f t="shared" si="39"/>
        <v>6.53</v>
      </c>
      <c r="L223" s="5">
        <f t="shared" si="39"/>
        <v>6.17</v>
      </c>
      <c r="M223" s="5">
        <f t="shared" si="39"/>
        <v>6.13</v>
      </c>
      <c r="N223" s="5">
        <f t="shared" si="39"/>
        <v>5.83</v>
      </c>
      <c r="O223" s="5">
        <f t="shared" si="39"/>
        <v>5.52</v>
      </c>
      <c r="P223" s="5">
        <f t="shared" si="39"/>
        <v>5.15</v>
      </c>
      <c r="Q223" s="5">
        <f t="shared" si="39"/>
        <v>4.44</v>
      </c>
      <c r="R223" s="5">
        <f t="shared" si="39"/>
        <v>3.48</v>
      </c>
      <c r="S223" s="5">
        <f t="shared" si="38"/>
        <v>3.18</v>
      </c>
      <c r="T223" s="5">
        <f t="shared" si="38"/>
        <v>2.51</v>
      </c>
      <c r="U223" s="5">
        <f t="shared" si="38"/>
        <v>1.85</v>
      </c>
      <c r="V223" s="5">
        <f t="shared" si="38"/>
        <v>1.72</v>
      </c>
      <c r="W223" s="5">
        <f t="shared" si="38"/>
        <v>1.35</v>
      </c>
      <c r="X223" s="5">
        <f t="shared" si="38"/>
        <v>1.16</v>
      </c>
      <c r="Y223" s="5">
        <f t="shared" si="38"/>
        <v>0.96</v>
      </c>
      <c r="Z223" s="5">
        <f t="shared" si="38"/>
        <v>0.93</v>
      </c>
      <c r="AA223" s="5">
        <f t="shared" si="38"/>
        <v>0.84</v>
      </c>
      <c r="AB223" s="5">
        <f t="shared" si="38"/>
        <v>0.71</v>
      </c>
      <c r="AC223" s="5">
        <f t="shared" si="38"/>
        <v>0.6</v>
      </c>
      <c r="AD223" s="5">
        <f t="shared" si="38"/>
        <v>0.58</v>
      </c>
      <c r="AE223" s="5">
        <f t="shared" si="38"/>
        <v>0.51</v>
      </c>
      <c r="AF223" s="5">
        <f t="shared" si="38"/>
        <v>0.47</v>
      </c>
      <c r="AG223" s="5">
        <f t="shared" si="38"/>
        <v>0.43</v>
      </c>
      <c r="AH223" s="5">
        <f t="shared" si="37"/>
        <v>0.31</v>
      </c>
      <c r="AI223" s="5">
        <f t="shared" si="37"/>
        <v>0.23</v>
      </c>
      <c r="AJ223" s="5">
        <f t="shared" si="37"/>
        <v>0.2</v>
      </c>
    </row>
    <row r="224" spans="1:36">
      <c r="A224" t="str">
        <f>"casthouse_procurement_archetype_"&amp;TEXT(ROUND(Table21319[[#This Row],[2016]],1),"0.0")</f>
        <v>casthouse_procurement_archetype_8.1</v>
      </c>
      <c r="B224" s="5">
        <f t="shared" si="34"/>
        <v>8.1</v>
      </c>
      <c r="C224" s="5">
        <f t="shared" si="39"/>
        <v>8.1</v>
      </c>
      <c r="D224" s="5">
        <f t="shared" si="39"/>
        <v>8.1</v>
      </c>
      <c r="E224" s="5">
        <f t="shared" si="39"/>
        <v>7.91</v>
      </c>
      <c r="F224" s="5">
        <f t="shared" si="39"/>
        <v>7.44</v>
      </c>
      <c r="G224" s="5">
        <f t="shared" si="39"/>
        <v>7.5</v>
      </c>
      <c r="H224" s="5">
        <f t="shared" si="39"/>
        <v>7.3</v>
      </c>
      <c r="I224" s="5">
        <f t="shared" si="39"/>
        <v>6.9</v>
      </c>
      <c r="J224" s="5">
        <f t="shared" si="39"/>
        <v>6.68</v>
      </c>
      <c r="K224" s="5">
        <f t="shared" si="39"/>
        <v>6.45</v>
      </c>
      <c r="L224" s="5">
        <f t="shared" si="39"/>
        <v>6.09</v>
      </c>
      <c r="M224" s="5">
        <f t="shared" si="39"/>
        <v>6.05</v>
      </c>
      <c r="N224" s="5">
        <f t="shared" si="39"/>
        <v>5.76</v>
      </c>
      <c r="O224" s="5">
        <f t="shared" si="39"/>
        <v>5.45</v>
      </c>
      <c r="P224" s="5">
        <f t="shared" si="39"/>
        <v>5.09</v>
      </c>
      <c r="Q224" s="5">
        <f t="shared" si="39"/>
        <v>4.39</v>
      </c>
      <c r="R224" s="5">
        <f t="shared" si="39"/>
        <v>3.44</v>
      </c>
      <c r="S224" s="5">
        <f t="shared" si="38"/>
        <v>3.14</v>
      </c>
      <c r="T224" s="5">
        <f t="shared" si="38"/>
        <v>2.49</v>
      </c>
      <c r="U224" s="5">
        <f t="shared" si="38"/>
        <v>1.82</v>
      </c>
      <c r="V224" s="5">
        <f t="shared" si="38"/>
        <v>1.7</v>
      </c>
      <c r="W224" s="5">
        <f t="shared" si="38"/>
        <v>1.33</v>
      </c>
      <c r="X224" s="5">
        <f t="shared" si="38"/>
        <v>1.15</v>
      </c>
      <c r="Y224" s="5">
        <f t="shared" si="38"/>
        <v>0.95</v>
      </c>
      <c r="Z224" s="5">
        <f t="shared" si="38"/>
        <v>0.92</v>
      </c>
      <c r="AA224" s="5">
        <f t="shared" si="38"/>
        <v>0.83</v>
      </c>
      <c r="AB224" s="5">
        <f t="shared" si="38"/>
        <v>0.7</v>
      </c>
      <c r="AC224" s="5">
        <f t="shared" si="38"/>
        <v>0.6</v>
      </c>
      <c r="AD224" s="5">
        <f t="shared" si="38"/>
        <v>0.58</v>
      </c>
      <c r="AE224" s="5">
        <f t="shared" si="38"/>
        <v>0.51</v>
      </c>
      <c r="AF224" s="5">
        <f t="shared" si="38"/>
        <v>0.46</v>
      </c>
      <c r="AG224" s="5">
        <f t="shared" si="38"/>
        <v>0.43</v>
      </c>
      <c r="AH224" s="5">
        <f t="shared" si="37"/>
        <v>0.3</v>
      </c>
      <c r="AI224" s="5">
        <f t="shared" si="37"/>
        <v>0.23</v>
      </c>
      <c r="AJ224" s="5">
        <f t="shared" si="37"/>
        <v>0.2</v>
      </c>
    </row>
    <row r="225" spans="1:36">
      <c r="A225" t="str">
        <f>"casthouse_procurement_archetype_"&amp;TEXT(ROUND(Table21319[[#This Row],[2016]],1),"0.0")</f>
        <v>casthouse_procurement_archetype_8.0</v>
      </c>
      <c r="B225" s="5">
        <f t="shared" si="34"/>
        <v>8</v>
      </c>
      <c r="C225" s="5">
        <f t="shared" si="39"/>
        <v>8</v>
      </c>
      <c r="D225" s="5">
        <f t="shared" si="39"/>
        <v>8</v>
      </c>
      <c r="E225" s="5">
        <f t="shared" si="39"/>
        <v>7.81</v>
      </c>
      <c r="F225" s="5">
        <f t="shared" si="39"/>
        <v>7.34</v>
      </c>
      <c r="G225" s="5">
        <f t="shared" si="39"/>
        <v>7.41</v>
      </c>
      <c r="H225" s="5">
        <f t="shared" si="39"/>
        <v>7.21</v>
      </c>
      <c r="I225" s="5">
        <f t="shared" si="39"/>
        <v>6.82</v>
      </c>
      <c r="J225" s="5">
        <f t="shared" si="39"/>
        <v>6.6</v>
      </c>
      <c r="K225" s="5">
        <f t="shared" si="39"/>
        <v>6.38</v>
      </c>
      <c r="L225" s="5">
        <f t="shared" si="39"/>
        <v>6.02</v>
      </c>
      <c r="M225" s="5">
        <f t="shared" si="39"/>
        <v>5.98</v>
      </c>
      <c r="N225" s="5">
        <f t="shared" si="39"/>
        <v>5.69</v>
      </c>
      <c r="O225" s="5">
        <f t="shared" si="39"/>
        <v>5.39</v>
      </c>
      <c r="P225" s="5">
        <f t="shared" si="39"/>
        <v>5.03</v>
      </c>
      <c r="Q225" s="5">
        <f t="shared" si="39"/>
        <v>4.34</v>
      </c>
      <c r="R225" s="5">
        <f t="shared" si="39"/>
        <v>3.4</v>
      </c>
      <c r="S225" s="5">
        <f t="shared" si="38"/>
        <v>3.1</v>
      </c>
      <c r="T225" s="5">
        <f t="shared" si="38"/>
        <v>2.46</v>
      </c>
      <c r="U225" s="5">
        <f t="shared" si="38"/>
        <v>1.8</v>
      </c>
      <c r="V225" s="5">
        <f t="shared" si="38"/>
        <v>1.68</v>
      </c>
      <c r="W225" s="5">
        <f t="shared" si="38"/>
        <v>1.32</v>
      </c>
      <c r="X225" s="5">
        <f t="shared" si="38"/>
        <v>1.13</v>
      </c>
      <c r="Y225" s="5">
        <f t="shared" si="38"/>
        <v>0.94</v>
      </c>
      <c r="Z225" s="5">
        <f t="shared" si="38"/>
        <v>0.91</v>
      </c>
      <c r="AA225" s="5">
        <f t="shared" si="38"/>
        <v>0.82</v>
      </c>
      <c r="AB225" s="5">
        <f t="shared" si="38"/>
        <v>0.7</v>
      </c>
      <c r="AC225" s="5">
        <f t="shared" si="38"/>
        <v>0.59</v>
      </c>
      <c r="AD225" s="5">
        <f t="shared" si="38"/>
        <v>0.57</v>
      </c>
      <c r="AE225" s="5">
        <f t="shared" si="38"/>
        <v>0.5</v>
      </c>
      <c r="AF225" s="5">
        <f t="shared" si="38"/>
        <v>0.46</v>
      </c>
      <c r="AG225" s="5">
        <f t="shared" si="38"/>
        <v>0.43</v>
      </c>
      <c r="AH225" s="5">
        <f t="shared" si="37"/>
        <v>0.3</v>
      </c>
      <c r="AI225" s="5">
        <f t="shared" si="37"/>
        <v>0.23</v>
      </c>
      <c r="AJ225" s="5">
        <f t="shared" si="37"/>
        <v>0.2</v>
      </c>
    </row>
    <row r="226" spans="1:36">
      <c r="A226" t="str">
        <f>"casthouse_procurement_archetype_"&amp;TEXT(ROUND(Table21319[[#This Row],[2016]],1),"0.0")</f>
        <v>casthouse_procurement_archetype_7.9</v>
      </c>
      <c r="B226" s="5">
        <f t="shared" si="34"/>
        <v>7.9</v>
      </c>
      <c r="C226" s="5">
        <f t="shared" si="39"/>
        <v>7.9</v>
      </c>
      <c r="D226" s="5">
        <f t="shared" si="39"/>
        <v>7.9</v>
      </c>
      <c r="E226" s="5">
        <f t="shared" si="39"/>
        <v>7.71</v>
      </c>
      <c r="F226" s="5">
        <f t="shared" si="39"/>
        <v>7.25</v>
      </c>
      <c r="G226" s="5">
        <f t="shared" si="39"/>
        <v>7.32</v>
      </c>
      <c r="H226" s="5">
        <f t="shared" si="39"/>
        <v>7.12</v>
      </c>
      <c r="I226" s="5">
        <f t="shared" si="39"/>
        <v>6.73</v>
      </c>
      <c r="J226" s="5">
        <f t="shared" si="39"/>
        <v>6.52</v>
      </c>
      <c r="K226" s="5">
        <f t="shared" si="39"/>
        <v>6.3</v>
      </c>
      <c r="L226" s="5">
        <f t="shared" si="39"/>
        <v>5.95</v>
      </c>
      <c r="M226" s="5">
        <f t="shared" si="39"/>
        <v>5.9</v>
      </c>
      <c r="N226" s="5">
        <f t="shared" si="39"/>
        <v>5.62</v>
      </c>
      <c r="O226" s="5">
        <f t="shared" si="39"/>
        <v>5.32</v>
      </c>
      <c r="P226" s="5">
        <f t="shared" si="39"/>
        <v>4.97</v>
      </c>
      <c r="Q226" s="5">
        <f t="shared" si="39"/>
        <v>4.28</v>
      </c>
      <c r="R226" s="5">
        <f t="shared" si="39"/>
        <v>3.36</v>
      </c>
      <c r="S226" s="5">
        <f t="shared" si="38"/>
        <v>3.07</v>
      </c>
      <c r="T226" s="5">
        <f t="shared" si="38"/>
        <v>2.43</v>
      </c>
      <c r="U226" s="5">
        <f t="shared" si="38"/>
        <v>1.78</v>
      </c>
      <c r="V226" s="5">
        <f t="shared" si="38"/>
        <v>1.66</v>
      </c>
      <c r="W226" s="5">
        <f t="shared" si="38"/>
        <v>1.3</v>
      </c>
      <c r="X226" s="5">
        <f t="shared" si="38"/>
        <v>1.12</v>
      </c>
      <c r="Y226" s="5">
        <f t="shared" si="38"/>
        <v>0.93</v>
      </c>
      <c r="Z226" s="5">
        <f t="shared" si="38"/>
        <v>0.9</v>
      </c>
      <c r="AA226" s="5">
        <f t="shared" si="38"/>
        <v>0.82</v>
      </c>
      <c r="AB226" s="5">
        <f t="shared" si="38"/>
        <v>0.69</v>
      </c>
      <c r="AC226" s="5">
        <f t="shared" si="38"/>
        <v>0.59</v>
      </c>
      <c r="AD226" s="5">
        <f t="shared" si="38"/>
        <v>0.57</v>
      </c>
      <c r="AE226" s="5">
        <f t="shared" si="38"/>
        <v>0.5</v>
      </c>
      <c r="AF226" s="5">
        <f t="shared" si="38"/>
        <v>0.46</v>
      </c>
      <c r="AG226" s="5">
        <f t="shared" si="38"/>
        <v>0.42</v>
      </c>
      <c r="AH226" s="5">
        <f t="shared" si="37"/>
        <v>0.3</v>
      </c>
      <c r="AI226" s="5">
        <f t="shared" si="37"/>
        <v>0.23</v>
      </c>
      <c r="AJ226" s="5">
        <f t="shared" si="37"/>
        <v>0.2</v>
      </c>
    </row>
    <row r="227" spans="1:36">
      <c r="A227" t="str">
        <f>"casthouse_procurement_archetype_"&amp;TEXT(ROUND(Table21319[[#This Row],[2016]],1),"0.0")</f>
        <v>casthouse_procurement_archetype_7.8</v>
      </c>
      <c r="B227" s="5">
        <f t="shared" si="34"/>
        <v>7.8</v>
      </c>
      <c r="C227" s="5">
        <f t="shared" si="39"/>
        <v>7.8</v>
      </c>
      <c r="D227" s="5">
        <f t="shared" si="39"/>
        <v>7.8</v>
      </c>
      <c r="E227" s="5">
        <f t="shared" si="39"/>
        <v>7.61</v>
      </c>
      <c r="F227" s="5">
        <f t="shared" si="39"/>
        <v>7.16</v>
      </c>
      <c r="G227" s="5">
        <f t="shared" si="39"/>
        <v>7.22</v>
      </c>
      <c r="H227" s="5">
        <f t="shared" si="39"/>
        <v>7.03</v>
      </c>
      <c r="I227" s="5">
        <f t="shared" si="39"/>
        <v>6.65</v>
      </c>
      <c r="J227" s="5">
        <f t="shared" si="39"/>
        <v>6.44</v>
      </c>
      <c r="K227" s="5">
        <f t="shared" si="39"/>
        <v>6.22</v>
      </c>
      <c r="L227" s="5">
        <f t="shared" si="39"/>
        <v>5.87</v>
      </c>
      <c r="M227" s="5">
        <f t="shared" si="39"/>
        <v>5.83</v>
      </c>
      <c r="N227" s="5">
        <f t="shared" si="39"/>
        <v>5.55</v>
      </c>
      <c r="O227" s="5">
        <f t="shared" si="39"/>
        <v>5.25</v>
      </c>
      <c r="P227" s="5">
        <f t="shared" si="39"/>
        <v>4.91</v>
      </c>
      <c r="Q227" s="5">
        <f t="shared" si="39"/>
        <v>4.23</v>
      </c>
      <c r="R227" s="5">
        <f t="shared" si="39"/>
        <v>3.32</v>
      </c>
      <c r="S227" s="5">
        <f t="shared" si="38"/>
        <v>3.03</v>
      </c>
      <c r="T227" s="5">
        <f t="shared" si="38"/>
        <v>2.4</v>
      </c>
      <c r="U227" s="5">
        <f t="shared" si="38"/>
        <v>1.76</v>
      </c>
      <c r="V227" s="5">
        <f t="shared" si="38"/>
        <v>1.65</v>
      </c>
      <c r="W227" s="5">
        <f t="shared" si="38"/>
        <v>1.29</v>
      </c>
      <c r="X227" s="5">
        <f t="shared" si="38"/>
        <v>1.11</v>
      </c>
      <c r="Y227" s="5">
        <f t="shared" si="38"/>
        <v>0.92</v>
      </c>
      <c r="Z227" s="5">
        <f t="shared" si="38"/>
        <v>0.89</v>
      </c>
      <c r="AA227" s="5">
        <f t="shared" si="38"/>
        <v>0.81</v>
      </c>
      <c r="AB227" s="5">
        <f t="shared" si="38"/>
        <v>0.68</v>
      </c>
      <c r="AC227" s="5">
        <f t="shared" si="38"/>
        <v>0.58</v>
      </c>
      <c r="AD227" s="5">
        <f t="shared" si="38"/>
        <v>0.56</v>
      </c>
      <c r="AE227" s="5">
        <f t="shared" si="38"/>
        <v>0.49</v>
      </c>
      <c r="AF227" s="5">
        <f t="shared" si="38"/>
        <v>0.45</v>
      </c>
      <c r="AG227" s="5">
        <f t="shared" si="38"/>
        <v>0.42</v>
      </c>
      <c r="AH227" s="5">
        <f t="shared" si="37"/>
        <v>0.3</v>
      </c>
      <c r="AI227" s="5">
        <f t="shared" si="37"/>
        <v>0.23</v>
      </c>
      <c r="AJ227" s="5">
        <f t="shared" si="37"/>
        <v>0.2</v>
      </c>
    </row>
    <row r="228" spans="1:36">
      <c r="A228" t="str">
        <f>"casthouse_procurement_archetype_"&amp;TEXT(ROUND(Table21319[[#This Row],[2016]],1),"0.0")</f>
        <v>casthouse_procurement_archetype_7.7</v>
      </c>
      <c r="B228" s="5">
        <f t="shared" si="34"/>
        <v>7.7</v>
      </c>
      <c r="C228" s="5">
        <f t="shared" si="39"/>
        <v>7.7</v>
      </c>
      <c r="D228" s="5">
        <f t="shared" si="39"/>
        <v>7.7</v>
      </c>
      <c r="E228" s="5">
        <f t="shared" si="39"/>
        <v>7.52</v>
      </c>
      <c r="F228" s="5">
        <f t="shared" si="39"/>
        <v>7.07</v>
      </c>
      <c r="G228" s="5">
        <f t="shared" si="39"/>
        <v>7.13</v>
      </c>
      <c r="H228" s="5">
        <f t="shared" si="39"/>
        <v>6.94</v>
      </c>
      <c r="I228" s="5">
        <f t="shared" si="39"/>
        <v>6.56</v>
      </c>
      <c r="J228" s="5">
        <f t="shared" si="39"/>
        <v>6.35</v>
      </c>
      <c r="K228" s="5">
        <f t="shared" si="39"/>
        <v>6.14</v>
      </c>
      <c r="L228" s="5">
        <f t="shared" si="39"/>
        <v>5.8</v>
      </c>
      <c r="M228" s="5">
        <f t="shared" si="39"/>
        <v>5.76</v>
      </c>
      <c r="N228" s="5">
        <f t="shared" si="39"/>
        <v>5.48</v>
      </c>
      <c r="O228" s="5">
        <f t="shared" si="39"/>
        <v>5.19</v>
      </c>
      <c r="P228" s="5">
        <f t="shared" si="39"/>
        <v>4.84</v>
      </c>
      <c r="Q228" s="5">
        <f t="shared" si="39"/>
        <v>4.18</v>
      </c>
      <c r="R228" s="5">
        <f t="shared" si="39"/>
        <v>3.28</v>
      </c>
      <c r="S228" s="5">
        <f t="shared" si="38"/>
        <v>2.99</v>
      </c>
      <c r="T228" s="5">
        <f t="shared" si="38"/>
        <v>2.37</v>
      </c>
      <c r="U228" s="5">
        <f t="shared" si="38"/>
        <v>1.74</v>
      </c>
      <c r="V228" s="5">
        <f t="shared" si="38"/>
        <v>1.63</v>
      </c>
      <c r="W228" s="5">
        <f t="shared" si="38"/>
        <v>1.28</v>
      </c>
      <c r="X228" s="5">
        <f t="shared" si="38"/>
        <v>1.1</v>
      </c>
      <c r="Y228" s="5">
        <f t="shared" si="38"/>
        <v>0.91</v>
      </c>
      <c r="Z228" s="5">
        <f t="shared" si="38"/>
        <v>0.88</v>
      </c>
      <c r="AA228" s="5">
        <f t="shared" si="38"/>
        <v>0.8</v>
      </c>
      <c r="AB228" s="5">
        <f t="shared" si="38"/>
        <v>0.68</v>
      </c>
      <c r="AC228" s="5">
        <f t="shared" si="38"/>
        <v>0.58</v>
      </c>
      <c r="AD228" s="5">
        <f t="shared" si="38"/>
        <v>0.56</v>
      </c>
      <c r="AE228" s="5">
        <f t="shared" si="38"/>
        <v>0.49</v>
      </c>
      <c r="AF228" s="5">
        <f t="shared" si="38"/>
        <v>0.45</v>
      </c>
      <c r="AG228" s="5">
        <f t="shared" si="38"/>
        <v>0.42</v>
      </c>
      <c r="AH228" s="5">
        <f t="shared" si="37"/>
        <v>0.3</v>
      </c>
      <c r="AI228" s="5">
        <f t="shared" si="37"/>
        <v>0.23</v>
      </c>
      <c r="AJ228" s="5">
        <f t="shared" si="37"/>
        <v>0.2</v>
      </c>
    </row>
    <row r="229" spans="1:36">
      <c r="A229" t="str">
        <f>"casthouse_procurement_archetype_"&amp;TEXT(ROUND(Table21319[[#This Row],[2016]],1),"0.0")</f>
        <v>casthouse_procurement_archetype_7.6</v>
      </c>
      <c r="B229" s="5">
        <f t="shared" si="34"/>
        <v>7.6</v>
      </c>
      <c r="C229" s="5">
        <f t="shared" si="39"/>
        <v>7.6</v>
      </c>
      <c r="D229" s="5">
        <f t="shared" si="39"/>
        <v>7.6</v>
      </c>
      <c r="E229" s="5">
        <f t="shared" si="39"/>
        <v>7.42</v>
      </c>
      <c r="F229" s="5">
        <f t="shared" si="39"/>
        <v>6.98</v>
      </c>
      <c r="G229" s="5">
        <f t="shared" si="39"/>
        <v>7.04</v>
      </c>
      <c r="H229" s="5">
        <f t="shared" si="39"/>
        <v>6.85</v>
      </c>
      <c r="I229" s="5">
        <f t="shared" si="39"/>
        <v>6.48</v>
      </c>
      <c r="J229" s="5">
        <f t="shared" si="39"/>
        <v>6.27</v>
      </c>
      <c r="K229" s="5">
        <f t="shared" si="39"/>
        <v>6.06</v>
      </c>
      <c r="L229" s="5">
        <f t="shared" si="39"/>
        <v>5.72</v>
      </c>
      <c r="M229" s="5">
        <f t="shared" si="39"/>
        <v>5.68</v>
      </c>
      <c r="N229" s="5">
        <f t="shared" si="39"/>
        <v>5.41</v>
      </c>
      <c r="O229" s="5">
        <f t="shared" si="39"/>
        <v>5.12</v>
      </c>
      <c r="P229" s="5">
        <f t="shared" si="39"/>
        <v>4.78</v>
      </c>
      <c r="Q229" s="5">
        <f t="shared" si="39"/>
        <v>4.12</v>
      </c>
      <c r="R229" s="5">
        <f t="shared" si="39"/>
        <v>3.24</v>
      </c>
      <c r="S229" s="5">
        <f t="shared" si="38"/>
        <v>2.96</v>
      </c>
      <c r="T229" s="5">
        <f t="shared" si="38"/>
        <v>2.34</v>
      </c>
      <c r="U229" s="5">
        <f t="shared" si="38"/>
        <v>1.72</v>
      </c>
      <c r="V229" s="5">
        <f t="shared" si="38"/>
        <v>1.61</v>
      </c>
      <c r="W229" s="5">
        <f t="shared" si="38"/>
        <v>1.26</v>
      </c>
      <c r="X229" s="5">
        <f t="shared" si="38"/>
        <v>1.09</v>
      </c>
      <c r="Y229" s="5">
        <f t="shared" si="38"/>
        <v>0.9</v>
      </c>
      <c r="Z229" s="5">
        <f t="shared" si="38"/>
        <v>0.87</v>
      </c>
      <c r="AA229" s="5">
        <f t="shared" si="38"/>
        <v>0.79</v>
      </c>
      <c r="AB229" s="5">
        <f t="shared" si="38"/>
        <v>0.67</v>
      </c>
      <c r="AC229" s="5">
        <f t="shared" si="38"/>
        <v>0.57</v>
      </c>
      <c r="AD229" s="5">
        <f t="shared" si="38"/>
        <v>0.55</v>
      </c>
      <c r="AE229" s="5">
        <f t="shared" si="38"/>
        <v>0.49</v>
      </c>
      <c r="AF229" s="5">
        <f t="shared" si="38"/>
        <v>0.45</v>
      </c>
      <c r="AG229" s="5">
        <f t="shared" si="38"/>
        <v>0.41</v>
      </c>
      <c r="AH229" s="5">
        <f t="shared" si="37"/>
        <v>0.3</v>
      </c>
      <c r="AI229" s="5">
        <f t="shared" si="37"/>
        <v>0.23</v>
      </c>
      <c r="AJ229" s="5">
        <f t="shared" si="37"/>
        <v>0.2</v>
      </c>
    </row>
    <row r="230" spans="1:36">
      <c r="A230" t="str">
        <f>"casthouse_procurement_archetype_"&amp;TEXT(ROUND(Table21319[[#This Row],[2016]],1),"0.0")</f>
        <v>casthouse_procurement_archetype_7.5</v>
      </c>
      <c r="B230" s="5">
        <f t="shared" si="34"/>
        <v>7.5</v>
      </c>
      <c r="C230" s="5">
        <f t="shared" si="39"/>
        <v>7.5</v>
      </c>
      <c r="D230" s="5">
        <f t="shared" si="39"/>
        <v>7.5</v>
      </c>
      <c r="E230" s="5">
        <f t="shared" si="39"/>
        <v>7.32</v>
      </c>
      <c r="F230" s="5">
        <f t="shared" si="39"/>
        <v>6.89</v>
      </c>
      <c r="G230" s="5">
        <f t="shared" si="39"/>
        <v>6.95</v>
      </c>
      <c r="H230" s="5">
        <f t="shared" si="39"/>
        <v>6.76</v>
      </c>
      <c r="I230" s="5">
        <f t="shared" si="39"/>
        <v>6.39</v>
      </c>
      <c r="J230" s="5">
        <f t="shared" si="39"/>
        <v>6.19</v>
      </c>
      <c r="K230" s="5">
        <f t="shared" si="39"/>
        <v>5.98</v>
      </c>
      <c r="L230" s="5">
        <f t="shared" si="39"/>
        <v>5.65</v>
      </c>
      <c r="M230" s="5">
        <f t="shared" si="39"/>
        <v>5.61</v>
      </c>
      <c r="N230" s="5">
        <f t="shared" si="39"/>
        <v>5.33</v>
      </c>
      <c r="O230" s="5">
        <f t="shared" si="39"/>
        <v>5.05</v>
      </c>
      <c r="P230" s="5">
        <f t="shared" si="39"/>
        <v>4.72</v>
      </c>
      <c r="Q230" s="5">
        <f t="shared" si="39"/>
        <v>4.07</v>
      </c>
      <c r="R230" s="5">
        <f t="shared" si="39"/>
        <v>3.2</v>
      </c>
      <c r="S230" s="5">
        <f t="shared" si="38"/>
        <v>2.92</v>
      </c>
      <c r="T230" s="5">
        <f t="shared" si="38"/>
        <v>2.31</v>
      </c>
      <c r="U230" s="5">
        <f t="shared" si="38"/>
        <v>1.7</v>
      </c>
      <c r="V230" s="5">
        <f t="shared" si="38"/>
        <v>1.59</v>
      </c>
      <c r="W230" s="5">
        <f t="shared" si="38"/>
        <v>1.25</v>
      </c>
      <c r="X230" s="5">
        <f t="shared" si="38"/>
        <v>1.07</v>
      </c>
      <c r="Y230" s="5">
        <f t="shared" si="38"/>
        <v>0.89</v>
      </c>
      <c r="Z230" s="5">
        <f t="shared" si="38"/>
        <v>0.87</v>
      </c>
      <c r="AA230" s="5">
        <f t="shared" si="38"/>
        <v>0.78</v>
      </c>
      <c r="AB230" s="5">
        <f t="shared" si="38"/>
        <v>0.66</v>
      </c>
      <c r="AC230" s="5">
        <f t="shared" si="38"/>
        <v>0.57</v>
      </c>
      <c r="AD230" s="5">
        <f t="shared" si="38"/>
        <v>0.55</v>
      </c>
      <c r="AE230" s="5">
        <f t="shared" si="38"/>
        <v>0.48</v>
      </c>
      <c r="AF230" s="5">
        <f t="shared" si="38"/>
        <v>0.44</v>
      </c>
      <c r="AG230" s="5">
        <f t="shared" si="38"/>
        <v>0.41</v>
      </c>
      <c r="AH230" s="5">
        <f t="shared" si="37"/>
        <v>0.3</v>
      </c>
      <c r="AI230" s="5">
        <f t="shared" si="37"/>
        <v>0.23</v>
      </c>
      <c r="AJ230" s="5">
        <f t="shared" si="37"/>
        <v>0.2</v>
      </c>
    </row>
    <row r="231" spans="1:36">
      <c r="A231" t="str">
        <f>"casthouse_procurement_archetype_"&amp;TEXT(ROUND(Table21319[[#This Row],[2016]],1),"0.0")</f>
        <v>casthouse_procurement_archetype_7.4</v>
      </c>
      <c r="B231" s="5">
        <f t="shared" si="34"/>
        <v>7.4</v>
      </c>
      <c r="C231" s="5">
        <f t="shared" si="39"/>
        <v>7.4</v>
      </c>
      <c r="D231" s="5">
        <f t="shared" si="39"/>
        <v>7.4</v>
      </c>
      <c r="E231" s="5">
        <f t="shared" si="39"/>
        <v>7.22</v>
      </c>
      <c r="F231" s="5">
        <f t="shared" si="39"/>
        <v>6.79</v>
      </c>
      <c r="G231" s="5">
        <f t="shared" si="39"/>
        <v>6.85</v>
      </c>
      <c r="H231" s="5">
        <f t="shared" si="39"/>
        <v>6.67</v>
      </c>
      <c r="I231" s="5">
        <f t="shared" si="39"/>
        <v>6.31</v>
      </c>
      <c r="J231" s="5">
        <f t="shared" si="39"/>
        <v>6.11</v>
      </c>
      <c r="K231" s="5">
        <f t="shared" si="39"/>
        <v>5.9</v>
      </c>
      <c r="L231" s="5">
        <f t="shared" si="39"/>
        <v>5.57</v>
      </c>
      <c r="M231" s="5">
        <f t="shared" si="39"/>
        <v>5.53</v>
      </c>
      <c r="N231" s="5">
        <f t="shared" si="39"/>
        <v>5.26</v>
      </c>
      <c r="O231" s="5">
        <f t="shared" si="39"/>
        <v>4.99</v>
      </c>
      <c r="P231" s="5">
        <f t="shared" si="39"/>
        <v>4.66</v>
      </c>
      <c r="Q231" s="5">
        <f t="shared" si="39"/>
        <v>4.02</v>
      </c>
      <c r="R231" s="5">
        <f t="shared" si="39"/>
        <v>3.16</v>
      </c>
      <c r="S231" s="5">
        <f t="shared" si="38"/>
        <v>2.88</v>
      </c>
      <c r="T231" s="5">
        <f t="shared" si="38"/>
        <v>2.28</v>
      </c>
      <c r="U231" s="5">
        <f t="shared" si="38"/>
        <v>1.68</v>
      </c>
      <c r="V231" s="5">
        <f t="shared" si="38"/>
        <v>1.57</v>
      </c>
      <c r="W231" s="5">
        <f t="shared" si="38"/>
        <v>1.23</v>
      </c>
      <c r="X231" s="5">
        <f t="shared" si="38"/>
        <v>1.06</v>
      </c>
      <c r="Y231" s="5">
        <f t="shared" si="38"/>
        <v>0.88</v>
      </c>
      <c r="Z231" s="5">
        <f t="shared" si="38"/>
        <v>0.86</v>
      </c>
      <c r="AA231" s="5">
        <f t="shared" si="38"/>
        <v>0.78</v>
      </c>
      <c r="AB231" s="5">
        <f t="shared" si="38"/>
        <v>0.66</v>
      </c>
      <c r="AC231" s="5">
        <f t="shared" si="38"/>
        <v>0.56</v>
      </c>
      <c r="AD231" s="5">
        <f t="shared" si="38"/>
        <v>0.54</v>
      </c>
      <c r="AE231" s="5">
        <f t="shared" si="38"/>
        <v>0.48</v>
      </c>
      <c r="AF231" s="5">
        <f t="shared" si="38"/>
        <v>0.44</v>
      </c>
      <c r="AG231" s="5">
        <f t="shared" si="38"/>
        <v>0.41</v>
      </c>
      <c r="AH231" s="5">
        <f t="shared" si="37"/>
        <v>0.29</v>
      </c>
      <c r="AI231" s="5">
        <f t="shared" si="37"/>
        <v>0.23</v>
      </c>
      <c r="AJ231" s="5">
        <f t="shared" si="37"/>
        <v>0.2</v>
      </c>
    </row>
    <row r="232" spans="1:36">
      <c r="A232" t="str">
        <f>"casthouse_procurement_archetype_"&amp;TEXT(ROUND(Table21319[[#This Row],[2016]],1),"0.0")</f>
        <v>casthouse_procurement_archetype_7.3</v>
      </c>
      <c r="B232" s="5">
        <f t="shared" si="34"/>
        <v>7.3</v>
      </c>
      <c r="C232" s="5">
        <f t="shared" si="39"/>
        <v>7.3</v>
      </c>
      <c r="D232" s="5">
        <f t="shared" si="39"/>
        <v>7.3</v>
      </c>
      <c r="E232" s="5">
        <f t="shared" si="39"/>
        <v>7.13</v>
      </c>
      <c r="F232" s="5">
        <f t="shared" si="39"/>
        <v>6.7</v>
      </c>
      <c r="G232" s="5">
        <f t="shared" si="39"/>
        <v>6.76</v>
      </c>
      <c r="H232" s="5">
        <f t="shared" si="39"/>
        <v>6.58</v>
      </c>
      <c r="I232" s="5">
        <f t="shared" si="39"/>
        <v>6.22</v>
      </c>
      <c r="J232" s="5">
        <f t="shared" si="39"/>
        <v>6.03</v>
      </c>
      <c r="K232" s="5">
        <f t="shared" si="39"/>
        <v>5.82</v>
      </c>
      <c r="L232" s="5">
        <f t="shared" si="39"/>
        <v>5.5</v>
      </c>
      <c r="M232" s="5">
        <f t="shared" si="39"/>
        <v>5.46</v>
      </c>
      <c r="N232" s="5">
        <f t="shared" si="39"/>
        <v>5.19</v>
      </c>
      <c r="O232" s="5">
        <f t="shared" si="39"/>
        <v>4.92</v>
      </c>
      <c r="P232" s="5">
        <f t="shared" si="39"/>
        <v>4.6</v>
      </c>
      <c r="Q232" s="5">
        <f t="shared" si="39"/>
        <v>3.97</v>
      </c>
      <c r="R232" s="5">
        <f t="shared" si="39"/>
        <v>3.11</v>
      </c>
      <c r="S232" s="5">
        <f t="shared" si="38"/>
        <v>2.84</v>
      </c>
      <c r="T232" s="5">
        <f t="shared" si="38"/>
        <v>2.25</v>
      </c>
      <c r="U232" s="5">
        <f t="shared" si="38"/>
        <v>1.66</v>
      </c>
      <c r="V232" s="5">
        <f t="shared" si="38"/>
        <v>1.55</v>
      </c>
      <c r="W232" s="5">
        <f t="shared" si="38"/>
        <v>1.22</v>
      </c>
      <c r="X232" s="5">
        <f t="shared" si="38"/>
        <v>1.05</v>
      </c>
      <c r="Y232" s="5">
        <f t="shared" si="38"/>
        <v>0.87</v>
      </c>
      <c r="Z232" s="5">
        <f t="shared" si="38"/>
        <v>0.85</v>
      </c>
      <c r="AA232" s="5">
        <f t="shared" si="38"/>
        <v>0.77</v>
      </c>
      <c r="AB232" s="5">
        <f t="shared" si="38"/>
        <v>0.65</v>
      </c>
      <c r="AC232" s="5">
        <f t="shared" si="38"/>
        <v>0.56</v>
      </c>
      <c r="AD232" s="5">
        <f t="shared" si="38"/>
        <v>0.54</v>
      </c>
      <c r="AE232" s="5">
        <f t="shared" si="38"/>
        <v>0.48</v>
      </c>
      <c r="AF232" s="5">
        <f t="shared" si="38"/>
        <v>0.44</v>
      </c>
      <c r="AG232" s="5">
        <f t="shared" si="38"/>
        <v>0.41</v>
      </c>
      <c r="AH232" s="5">
        <f t="shared" si="37"/>
        <v>0.29</v>
      </c>
      <c r="AI232" s="5">
        <f t="shared" si="37"/>
        <v>0.23</v>
      </c>
      <c r="AJ232" s="5">
        <f t="shared" si="37"/>
        <v>0.2</v>
      </c>
    </row>
    <row r="233" spans="1:36">
      <c r="A233" t="str">
        <f>"casthouse_procurement_archetype_"&amp;TEXT(ROUND(Table21319[[#This Row],[2016]],1),"0.0")</f>
        <v>casthouse_procurement_archetype_7.2</v>
      </c>
      <c r="B233" s="5">
        <f t="shared" si="34"/>
        <v>7.2</v>
      </c>
      <c r="C233" s="5">
        <f t="shared" si="39"/>
        <v>7.2</v>
      </c>
      <c r="D233" s="5">
        <f t="shared" si="39"/>
        <v>7.2</v>
      </c>
      <c r="E233" s="5">
        <f t="shared" si="39"/>
        <v>7.03</v>
      </c>
      <c r="F233" s="5">
        <f t="shared" si="39"/>
        <v>6.61</v>
      </c>
      <c r="G233" s="5">
        <f t="shared" si="39"/>
        <v>6.67</v>
      </c>
      <c r="H233" s="5">
        <f t="shared" si="39"/>
        <v>6.49</v>
      </c>
      <c r="I233" s="5">
        <f t="shared" si="39"/>
        <v>6.14</v>
      </c>
      <c r="J233" s="5">
        <f t="shared" si="39"/>
        <v>5.94</v>
      </c>
      <c r="K233" s="5">
        <f t="shared" si="39"/>
        <v>5.74</v>
      </c>
      <c r="L233" s="5">
        <f t="shared" si="39"/>
        <v>5.42</v>
      </c>
      <c r="M233" s="5">
        <f t="shared" si="39"/>
        <v>5.38</v>
      </c>
      <c r="N233" s="5">
        <f t="shared" si="39"/>
        <v>5.12</v>
      </c>
      <c r="O233" s="5">
        <f t="shared" si="39"/>
        <v>4.85</v>
      </c>
      <c r="P233" s="5">
        <f t="shared" si="39"/>
        <v>4.53</v>
      </c>
      <c r="Q233" s="5">
        <f t="shared" si="39"/>
        <v>3.91</v>
      </c>
      <c r="R233" s="5">
        <f t="shared" si="39"/>
        <v>3.07</v>
      </c>
      <c r="S233" s="5">
        <f t="shared" si="38"/>
        <v>2.81</v>
      </c>
      <c r="T233" s="5">
        <f t="shared" si="38"/>
        <v>2.23</v>
      </c>
      <c r="U233" s="5">
        <f t="shared" si="38"/>
        <v>1.64</v>
      </c>
      <c r="V233" s="5">
        <f t="shared" si="38"/>
        <v>1.53</v>
      </c>
      <c r="W233" s="5">
        <f t="shared" si="38"/>
        <v>1.2</v>
      </c>
      <c r="X233" s="5">
        <f t="shared" si="38"/>
        <v>1.04</v>
      </c>
      <c r="Y233" s="5">
        <f t="shared" si="38"/>
        <v>0.86</v>
      </c>
      <c r="Z233" s="5">
        <f t="shared" si="38"/>
        <v>0.84</v>
      </c>
      <c r="AA233" s="5">
        <f t="shared" si="38"/>
        <v>0.76</v>
      </c>
      <c r="AB233" s="5">
        <f t="shared" si="38"/>
        <v>0.64</v>
      </c>
      <c r="AC233" s="5">
        <f t="shared" si="38"/>
        <v>0.55</v>
      </c>
      <c r="AD233" s="5">
        <f t="shared" si="38"/>
        <v>0.53</v>
      </c>
      <c r="AE233" s="5">
        <f t="shared" si="38"/>
        <v>0.47</v>
      </c>
      <c r="AF233" s="5">
        <f t="shared" si="38"/>
        <v>0.43</v>
      </c>
      <c r="AG233" s="5">
        <f t="shared" si="38"/>
        <v>0.4</v>
      </c>
      <c r="AH233" s="5">
        <f t="shared" si="37"/>
        <v>0.29</v>
      </c>
      <c r="AI233" s="5">
        <f t="shared" si="37"/>
        <v>0.23</v>
      </c>
      <c r="AJ233" s="5">
        <f t="shared" si="37"/>
        <v>0.2</v>
      </c>
    </row>
    <row r="234" spans="1:36">
      <c r="A234" t="str">
        <f>"casthouse_procurement_archetype_"&amp;TEXT(ROUND(Table21319[[#This Row],[2016]],1),"0.0")</f>
        <v>casthouse_procurement_archetype_7.1</v>
      </c>
      <c r="B234" s="5">
        <f t="shared" si="34"/>
        <v>7.1</v>
      </c>
      <c r="C234" s="5">
        <f t="shared" si="39"/>
        <v>7.1</v>
      </c>
      <c r="D234" s="5">
        <f t="shared" si="39"/>
        <v>7.1</v>
      </c>
      <c r="E234" s="5">
        <f t="shared" si="39"/>
        <v>6.93</v>
      </c>
      <c r="F234" s="5">
        <f t="shared" si="39"/>
        <v>6.52</v>
      </c>
      <c r="G234" s="5">
        <f t="shared" si="39"/>
        <v>6.58</v>
      </c>
      <c r="H234" s="5">
        <f t="shared" si="39"/>
        <v>6.4</v>
      </c>
      <c r="I234" s="5">
        <f t="shared" si="39"/>
        <v>6.05</v>
      </c>
      <c r="J234" s="5">
        <f t="shared" si="39"/>
        <v>5.86</v>
      </c>
      <c r="K234" s="5">
        <f t="shared" si="39"/>
        <v>5.66</v>
      </c>
      <c r="L234" s="5">
        <f t="shared" si="39"/>
        <v>5.35</v>
      </c>
      <c r="M234" s="5">
        <f t="shared" si="39"/>
        <v>5.31</v>
      </c>
      <c r="N234" s="5">
        <f t="shared" si="39"/>
        <v>5.05</v>
      </c>
      <c r="O234" s="5">
        <f t="shared" si="39"/>
        <v>4.79</v>
      </c>
      <c r="P234" s="5">
        <f t="shared" si="39"/>
        <v>4.47</v>
      </c>
      <c r="Q234" s="5">
        <f t="shared" si="39"/>
        <v>3.86</v>
      </c>
      <c r="R234" s="5">
        <f t="shared" si="39"/>
        <v>3.03</v>
      </c>
      <c r="S234" s="5">
        <f t="shared" si="38"/>
        <v>2.77</v>
      </c>
      <c r="T234" s="5">
        <f t="shared" si="38"/>
        <v>2.2</v>
      </c>
      <c r="U234" s="5">
        <f t="shared" si="38"/>
        <v>1.62</v>
      </c>
      <c r="V234" s="5">
        <f t="shared" si="38"/>
        <v>1.51</v>
      </c>
      <c r="W234" s="5">
        <f t="shared" si="38"/>
        <v>1.19</v>
      </c>
      <c r="X234" s="5">
        <f t="shared" si="38"/>
        <v>1.03</v>
      </c>
      <c r="Y234" s="5">
        <f t="shared" si="38"/>
        <v>0.86</v>
      </c>
      <c r="Z234" s="5">
        <f t="shared" si="38"/>
        <v>0.83</v>
      </c>
      <c r="AA234" s="5">
        <f t="shared" si="38"/>
        <v>0.75</v>
      </c>
      <c r="AB234" s="5">
        <f t="shared" si="38"/>
        <v>0.64</v>
      </c>
      <c r="AC234" s="5">
        <f t="shared" si="38"/>
        <v>0.55</v>
      </c>
      <c r="AD234" s="5">
        <f t="shared" si="38"/>
        <v>0.53</v>
      </c>
      <c r="AE234" s="5">
        <f t="shared" si="38"/>
        <v>0.47</v>
      </c>
      <c r="AF234" s="5">
        <f t="shared" si="38"/>
        <v>0.43</v>
      </c>
      <c r="AG234" s="5">
        <f t="shared" si="38"/>
        <v>0.4</v>
      </c>
      <c r="AH234" s="5">
        <f t="shared" si="37"/>
        <v>0.29</v>
      </c>
      <c r="AI234" s="5">
        <f t="shared" si="37"/>
        <v>0.23</v>
      </c>
      <c r="AJ234" s="5">
        <f t="shared" si="37"/>
        <v>0.2</v>
      </c>
    </row>
    <row r="235" spans="1:36">
      <c r="A235" t="str">
        <f>"casthouse_procurement_archetype_"&amp;TEXT(ROUND(Table21319[[#This Row],[2016]],1),"0.0")</f>
        <v>casthouse_procurement_archetype_7.0</v>
      </c>
      <c r="B235" s="5">
        <f t="shared" si="34"/>
        <v>7</v>
      </c>
      <c r="C235" s="5">
        <f t="shared" si="39"/>
        <v>7</v>
      </c>
      <c r="D235" s="5">
        <f t="shared" si="39"/>
        <v>7</v>
      </c>
      <c r="E235" s="5">
        <f t="shared" si="39"/>
        <v>6.83</v>
      </c>
      <c r="F235" s="5">
        <f t="shared" si="39"/>
        <v>6.43</v>
      </c>
      <c r="G235" s="5">
        <f t="shared" si="39"/>
        <v>6.48</v>
      </c>
      <c r="H235" s="5">
        <f t="shared" si="39"/>
        <v>6.31</v>
      </c>
      <c r="I235" s="5">
        <f t="shared" si="39"/>
        <v>5.97</v>
      </c>
      <c r="J235" s="5">
        <f t="shared" si="39"/>
        <v>5.78</v>
      </c>
      <c r="K235" s="5">
        <f t="shared" si="39"/>
        <v>5.58</v>
      </c>
      <c r="L235" s="5">
        <f t="shared" si="39"/>
        <v>5.27</v>
      </c>
      <c r="M235" s="5">
        <f t="shared" si="39"/>
        <v>5.24</v>
      </c>
      <c r="N235" s="5">
        <f t="shared" si="39"/>
        <v>4.98</v>
      </c>
      <c r="O235" s="5">
        <f t="shared" si="39"/>
        <v>4.72</v>
      </c>
      <c r="P235" s="5">
        <f t="shared" si="39"/>
        <v>4.41</v>
      </c>
      <c r="Q235" s="5">
        <f t="shared" si="39"/>
        <v>3.81</v>
      </c>
      <c r="R235" s="5">
        <f t="shared" si="39"/>
        <v>2.99</v>
      </c>
      <c r="S235" s="5">
        <f t="shared" si="38"/>
        <v>2.73</v>
      </c>
      <c r="T235" s="5">
        <f t="shared" si="38"/>
        <v>2.17</v>
      </c>
      <c r="U235" s="5">
        <f t="shared" si="38"/>
        <v>1.6</v>
      </c>
      <c r="V235" s="5">
        <f t="shared" si="38"/>
        <v>1.49</v>
      </c>
      <c r="W235" s="5">
        <f t="shared" si="38"/>
        <v>1.18</v>
      </c>
      <c r="X235" s="5">
        <f t="shared" si="38"/>
        <v>1.01</v>
      </c>
      <c r="Y235" s="5">
        <f t="shared" si="38"/>
        <v>0.85</v>
      </c>
      <c r="Z235" s="5">
        <f t="shared" si="38"/>
        <v>0.82</v>
      </c>
      <c r="AA235" s="5">
        <f t="shared" si="38"/>
        <v>0.74</v>
      </c>
      <c r="AB235" s="5">
        <f t="shared" si="38"/>
        <v>0.63</v>
      </c>
      <c r="AC235" s="5">
        <f t="shared" si="38"/>
        <v>0.54</v>
      </c>
      <c r="AD235" s="5">
        <f t="shared" si="38"/>
        <v>0.53</v>
      </c>
      <c r="AE235" s="5">
        <f t="shared" si="38"/>
        <v>0.46</v>
      </c>
      <c r="AF235" s="5">
        <f t="shared" si="38"/>
        <v>0.43</v>
      </c>
      <c r="AG235" s="5">
        <f t="shared" si="38"/>
        <v>0.4</v>
      </c>
      <c r="AH235" s="5">
        <f t="shared" si="37"/>
        <v>0.29</v>
      </c>
      <c r="AI235" s="5">
        <f t="shared" si="37"/>
        <v>0.23</v>
      </c>
      <c r="AJ235" s="5">
        <f t="shared" si="37"/>
        <v>0.2</v>
      </c>
    </row>
    <row r="236" spans="1:36">
      <c r="A236" t="str">
        <f>"casthouse_procurement_archetype_"&amp;TEXT(ROUND(Table21319[[#This Row],[2016]],1),"0.0")</f>
        <v>casthouse_procurement_archetype_6.9</v>
      </c>
      <c r="B236" s="5">
        <f t="shared" si="34"/>
        <v>6.9</v>
      </c>
      <c r="C236" s="5">
        <f t="shared" si="39"/>
        <v>6.9</v>
      </c>
      <c r="D236" s="5">
        <f t="shared" si="39"/>
        <v>6.9</v>
      </c>
      <c r="E236" s="5">
        <f t="shared" si="39"/>
        <v>6.74</v>
      </c>
      <c r="F236" s="5">
        <f t="shared" si="39"/>
        <v>6.34</v>
      </c>
      <c r="G236" s="5">
        <f t="shared" si="39"/>
        <v>6.39</v>
      </c>
      <c r="H236" s="5">
        <f t="shared" si="39"/>
        <v>6.22</v>
      </c>
      <c r="I236" s="5">
        <f t="shared" si="39"/>
        <v>5.89</v>
      </c>
      <c r="J236" s="5">
        <f t="shared" si="39"/>
        <v>5.7</v>
      </c>
      <c r="K236" s="5">
        <f t="shared" si="39"/>
        <v>5.5</v>
      </c>
      <c r="L236" s="5">
        <f t="shared" si="39"/>
        <v>5.2</v>
      </c>
      <c r="M236" s="5">
        <f t="shared" si="39"/>
        <v>5.16</v>
      </c>
      <c r="N236" s="5">
        <f t="shared" si="39"/>
        <v>4.91</v>
      </c>
      <c r="O236" s="5">
        <f t="shared" si="39"/>
        <v>4.65</v>
      </c>
      <c r="P236" s="5">
        <f t="shared" si="39"/>
        <v>4.35</v>
      </c>
      <c r="Q236" s="5">
        <f t="shared" si="39"/>
        <v>3.75</v>
      </c>
      <c r="R236" s="5">
        <f t="shared" ref="R236:AG251" si="40">MROUND((($B236-$AJ$2)*((R$2-$AJ$2)/($B$2-$AJ$2)))+$AJ$2,0.01)</f>
        <v>2.95</v>
      </c>
      <c r="S236" s="5">
        <f t="shared" si="40"/>
        <v>2.69</v>
      </c>
      <c r="T236" s="5">
        <f t="shared" si="40"/>
        <v>2.14</v>
      </c>
      <c r="U236" s="5">
        <f t="shared" si="40"/>
        <v>1.58</v>
      </c>
      <c r="V236" s="5">
        <f t="shared" si="40"/>
        <v>1.47</v>
      </c>
      <c r="W236" s="5">
        <f t="shared" si="40"/>
        <v>1.16</v>
      </c>
      <c r="X236" s="5">
        <f t="shared" si="40"/>
        <v>1</v>
      </c>
      <c r="Y236" s="5">
        <f t="shared" si="40"/>
        <v>0.84</v>
      </c>
      <c r="Z236" s="5">
        <f t="shared" si="40"/>
        <v>0.81</v>
      </c>
      <c r="AA236" s="5">
        <f t="shared" si="40"/>
        <v>0.74</v>
      </c>
      <c r="AB236" s="5">
        <f t="shared" si="40"/>
        <v>0.63</v>
      </c>
      <c r="AC236" s="5">
        <f t="shared" si="40"/>
        <v>0.54</v>
      </c>
      <c r="AD236" s="5">
        <f t="shared" si="40"/>
        <v>0.52</v>
      </c>
      <c r="AE236" s="5">
        <f t="shared" si="40"/>
        <v>0.46</v>
      </c>
      <c r="AF236" s="5">
        <f t="shared" si="40"/>
        <v>0.42</v>
      </c>
      <c r="AG236" s="5">
        <f t="shared" si="40"/>
        <v>0.39</v>
      </c>
      <c r="AH236" s="5">
        <f t="shared" si="37"/>
        <v>0.29</v>
      </c>
      <c r="AI236" s="5">
        <f t="shared" si="37"/>
        <v>0.23</v>
      </c>
      <c r="AJ236" s="5">
        <f t="shared" si="37"/>
        <v>0.2</v>
      </c>
    </row>
    <row r="237" spans="1:36">
      <c r="A237" t="str">
        <f>"casthouse_procurement_archetype_"&amp;TEXT(ROUND(Table21319[[#This Row],[2016]],1),"0.0")</f>
        <v>casthouse_procurement_archetype_6.8</v>
      </c>
      <c r="B237" s="5">
        <f t="shared" si="34"/>
        <v>6.8</v>
      </c>
      <c r="C237" s="5">
        <f t="shared" ref="C237:R252" si="41">MROUND((($B237-$AJ$2)*((C$2-$AJ$2)/($B$2-$AJ$2)))+$AJ$2,0.01)</f>
        <v>6.8</v>
      </c>
      <c r="D237" s="5">
        <f t="shared" si="41"/>
        <v>6.8</v>
      </c>
      <c r="E237" s="5">
        <f t="shared" si="41"/>
        <v>6.64</v>
      </c>
      <c r="F237" s="5">
        <f t="shared" si="41"/>
        <v>6.25</v>
      </c>
      <c r="G237" s="5">
        <f t="shared" si="41"/>
        <v>6.3</v>
      </c>
      <c r="H237" s="5">
        <f t="shared" si="41"/>
        <v>6.13</v>
      </c>
      <c r="I237" s="5">
        <f t="shared" si="41"/>
        <v>5.8</v>
      </c>
      <c r="J237" s="5">
        <f t="shared" si="41"/>
        <v>5.62</v>
      </c>
      <c r="K237" s="5">
        <f t="shared" si="41"/>
        <v>5.43</v>
      </c>
      <c r="L237" s="5">
        <f t="shared" si="41"/>
        <v>5.12</v>
      </c>
      <c r="M237" s="5">
        <f t="shared" si="41"/>
        <v>5.09</v>
      </c>
      <c r="N237" s="5">
        <f t="shared" si="41"/>
        <v>4.84</v>
      </c>
      <c r="O237" s="5">
        <f t="shared" si="41"/>
        <v>4.59</v>
      </c>
      <c r="P237" s="5">
        <f t="shared" si="41"/>
        <v>4.29</v>
      </c>
      <c r="Q237" s="5">
        <f t="shared" si="41"/>
        <v>3.7</v>
      </c>
      <c r="R237" s="5">
        <f t="shared" si="41"/>
        <v>2.91</v>
      </c>
      <c r="S237" s="5">
        <f t="shared" si="40"/>
        <v>2.66</v>
      </c>
      <c r="T237" s="5">
        <f t="shared" si="40"/>
        <v>2.11</v>
      </c>
      <c r="U237" s="5">
        <f t="shared" si="40"/>
        <v>1.56</v>
      </c>
      <c r="V237" s="5">
        <f t="shared" si="40"/>
        <v>1.46</v>
      </c>
      <c r="W237" s="5">
        <f t="shared" si="40"/>
        <v>1.15</v>
      </c>
      <c r="X237" s="5">
        <f t="shared" si="40"/>
        <v>0.99</v>
      </c>
      <c r="Y237" s="5">
        <f t="shared" si="40"/>
        <v>0.83</v>
      </c>
      <c r="Z237" s="5">
        <f t="shared" si="40"/>
        <v>0.8</v>
      </c>
      <c r="AA237" s="5">
        <f t="shared" si="40"/>
        <v>0.73</v>
      </c>
      <c r="AB237" s="5">
        <f t="shared" si="40"/>
        <v>0.62</v>
      </c>
      <c r="AC237" s="5">
        <f t="shared" si="40"/>
        <v>0.53</v>
      </c>
      <c r="AD237" s="5">
        <f t="shared" si="40"/>
        <v>0.52</v>
      </c>
      <c r="AE237" s="5">
        <f t="shared" si="40"/>
        <v>0.46</v>
      </c>
      <c r="AF237" s="5">
        <f t="shared" si="40"/>
        <v>0.42</v>
      </c>
      <c r="AG237" s="5">
        <f t="shared" si="40"/>
        <v>0.39</v>
      </c>
      <c r="AH237" s="5">
        <f t="shared" si="37"/>
        <v>0.29</v>
      </c>
      <c r="AI237" s="5">
        <f t="shared" si="37"/>
        <v>0.23</v>
      </c>
      <c r="AJ237" s="5">
        <f t="shared" si="37"/>
        <v>0.2</v>
      </c>
    </row>
    <row r="238" spans="1:36">
      <c r="A238" t="str">
        <f>"casthouse_procurement_archetype_"&amp;TEXT(ROUND(Table21319[[#This Row],[2016]],1),"0.0")</f>
        <v>casthouse_procurement_archetype_6.7</v>
      </c>
      <c r="B238" s="5">
        <f t="shared" si="34"/>
        <v>6.7</v>
      </c>
      <c r="C238" s="5">
        <f t="shared" si="41"/>
        <v>6.7</v>
      </c>
      <c r="D238" s="5">
        <f t="shared" si="41"/>
        <v>6.7</v>
      </c>
      <c r="E238" s="5">
        <f t="shared" si="41"/>
        <v>6.54</v>
      </c>
      <c r="F238" s="5">
        <f t="shared" si="41"/>
        <v>6.15</v>
      </c>
      <c r="G238" s="5">
        <f t="shared" si="41"/>
        <v>6.21</v>
      </c>
      <c r="H238" s="5">
        <f t="shared" si="41"/>
        <v>6.04</v>
      </c>
      <c r="I238" s="5">
        <f t="shared" si="41"/>
        <v>5.72</v>
      </c>
      <c r="J238" s="5">
        <f t="shared" si="41"/>
        <v>5.53</v>
      </c>
      <c r="K238" s="5">
        <f t="shared" si="41"/>
        <v>5.35</v>
      </c>
      <c r="L238" s="5">
        <f t="shared" si="41"/>
        <v>5.05</v>
      </c>
      <c r="M238" s="5">
        <f t="shared" si="41"/>
        <v>5.01</v>
      </c>
      <c r="N238" s="5">
        <f t="shared" si="41"/>
        <v>4.77</v>
      </c>
      <c r="O238" s="5">
        <f t="shared" si="41"/>
        <v>4.52</v>
      </c>
      <c r="P238" s="5">
        <f t="shared" si="41"/>
        <v>4.22</v>
      </c>
      <c r="Q238" s="5">
        <f t="shared" si="41"/>
        <v>3.65</v>
      </c>
      <c r="R238" s="5">
        <f t="shared" si="41"/>
        <v>2.87</v>
      </c>
      <c r="S238" s="5">
        <f t="shared" si="40"/>
        <v>2.62</v>
      </c>
      <c r="T238" s="5">
        <f t="shared" si="40"/>
        <v>2.08</v>
      </c>
      <c r="U238" s="5">
        <f t="shared" si="40"/>
        <v>1.54</v>
      </c>
      <c r="V238" s="5">
        <f t="shared" si="40"/>
        <v>1.44</v>
      </c>
      <c r="W238" s="5">
        <f t="shared" si="40"/>
        <v>1.13</v>
      </c>
      <c r="X238" s="5">
        <f t="shared" si="40"/>
        <v>0.98</v>
      </c>
      <c r="Y238" s="5">
        <f t="shared" si="40"/>
        <v>0.82</v>
      </c>
      <c r="Z238" s="5">
        <f t="shared" si="40"/>
        <v>0.79</v>
      </c>
      <c r="AA238" s="5">
        <f t="shared" si="40"/>
        <v>0.72</v>
      </c>
      <c r="AB238" s="5">
        <f t="shared" si="40"/>
        <v>0.61</v>
      </c>
      <c r="AC238" s="5">
        <f t="shared" si="40"/>
        <v>0.53</v>
      </c>
      <c r="AD238" s="5">
        <f t="shared" si="40"/>
        <v>0.51</v>
      </c>
      <c r="AE238" s="5">
        <f t="shared" si="40"/>
        <v>0.45</v>
      </c>
      <c r="AF238" s="5">
        <f t="shared" si="40"/>
        <v>0.42</v>
      </c>
      <c r="AG238" s="5">
        <f t="shared" si="40"/>
        <v>0.39</v>
      </c>
      <c r="AH238" s="5">
        <f t="shared" si="37"/>
        <v>0.29</v>
      </c>
      <c r="AI238" s="5">
        <f t="shared" si="37"/>
        <v>0.23</v>
      </c>
      <c r="AJ238" s="5">
        <f t="shared" si="37"/>
        <v>0.2</v>
      </c>
    </row>
    <row r="239" spans="1:36">
      <c r="A239" t="str">
        <f>"casthouse_procurement_archetype_"&amp;TEXT(ROUND(Table21319[[#This Row],[2016]],1),"0.0")</f>
        <v>casthouse_procurement_archetype_6.6</v>
      </c>
      <c r="B239" s="5">
        <f t="shared" si="34"/>
        <v>6.6</v>
      </c>
      <c r="C239" s="5">
        <f t="shared" si="41"/>
        <v>6.6</v>
      </c>
      <c r="D239" s="5">
        <f t="shared" si="41"/>
        <v>6.6</v>
      </c>
      <c r="E239" s="5">
        <f t="shared" si="41"/>
        <v>6.44</v>
      </c>
      <c r="F239" s="5">
        <f t="shared" si="41"/>
        <v>6.06</v>
      </c>
      <c r="G239" s="5">
        <f t="shared" si="41"/>
        <v>6.12</v>
      </c>
      <c r="H239" s="5">
        <f t="shared" si="41"/>
        <v>5.95</v>
      </c>
      <c r="I239" s="5">
        <f t="shared" si="41"/>
        <v>5.63</v>
      </c>
      <c r="J239" s="5">
        <f t="shared" si="41"/>
        <v>5.45</v>
      </c>
      <c r="K239" s="5">
        <f t="shared" si="41"/>
        <v>5.27</v>
      </c>
      <c r="L239" s="5">
        <f t="shared" si="41"/>
        <v>4.98</v>
      </c>
      <c r="M239" s="5">
        <f t="shared" si="41"/>
        <v>4.94</v>
      </c>
      <c r="N239" s="5">
        <f t="shared" si="41"/>
        <v>4.7</v>
      </c>
      <c r="O239" s="5">
        <f t="shared" si="41"/>
        <v>4.45</v>
      </c>
      <c r="P239" s="5">
        <f t="shared" si="41"/>
        <v>4.16</v>
      </c>
      <c r="Q239" s="5">
        <f t="shared" si="41"/>
        <v>3.59</v>
      </c>
      <c r="R239" s="5">
        <f t="shared" si="41"/>
        <v>2.83</v>
      </c>
      <c r="S239" s="5">
        <f t="shared" si="40"/>
        <v>2.58</v>
      </c>
      <c r="T239" s="5">
        <f t="shared" si="40"/>
        <v>2.05</v>
      </c>
      <c r="U239" s="5">
        <f t="shared" si="40"/>
        <v>1.52</v>
      </c>
      <c r="V239" s="5">
        <f t="shared" si="40"/>
        <v>1.42</v>
      </c>
      <c r="W239" s="5">
        <f t="shared" si="40"/>
        <v>1.12</v>
      </c>
      <c r="X239" s="5">
        <f t="shared" si="40"/>
        <v>0.97</v>
      </c>
      <c r="Y239" s="5">
        <f t="shared" si="40"/>
        <v>0.81</v>
      </c>
      <c r="Z239" s="5">
        <f t="shared" si="40"/>
        <v>0.78</v>
      </c>
      <c r="AA239" s="5">
        <f t="shared" si="40"/>
        <v>0.71</v>
      </c>
      <c r="AB239" s="5">
        <f t="shared" si="40"/>
        <v>0.61</v>
      </c>
      <c r="AC239" s="5">
        <f t="shared" si="40"/>
        <v>0.52</v>
      </c>
      <c r="AD239" s="5">
        <f t="shared" si="40"/>
        <v>0.51</v>
      </c>
      <c r="AE239" s="5">
        <f t="shared" si="40"/>
        <v>0.45</v>
      </c>
      <c r="AF239" s="5">
        <f t="shared" si="40"/>
        <v>0.41</v>
      </c>
      <c r="AG239" s="5">
        <f t="shared" si="40"/>
        <v>0.39</v>
      </c>
      <c r="AH239" s="5">
        <f t="shared" si="37"/>
        <v>0.28</v>
      </c>
      <c r="AI239" s="5">
        <f t="shared" si="37"/>
        <v>0.23</v>
      </c>
      <c r="AJ239" s="5">
        <f t="shared" si="37"/>
        <v>0.2</v>
      </c>
    </row>
    <row r="240" spans="1:36">
      <c r="A240" t="str">
        <f>"casthouse_procurement_archetype_"&amp;TEXT(ROUND(Table21319[[#This Row],[2016]],1),"0.0")</f>
        <v>casthouse_procurement_archetype_6.5</v>
      </c>
      <c r="B240" s="5">
        <f t="shared" si="34"/>
        <v>6.5</v>
      </c>
      <c r="C240" s="5">
        <f t="shared" si="41"/>
        <v>6.5</v>
      </c>
      <c r="D240" s="5">
        <f t="shared" si="41"/>
        <v>6.5</v>
      </c>
      <c r="E240" s="5">
        <f t="shared" si="41"/>
        <v>6.35</v>
      </c>
      <c r="F240" s="5">
        <f t="shared" si="41"/>
        <v>5.97</v>
      </c>
      <c r="G240" s="5">
        <f t="shared" si="41"/>
        <v>6.02</v>
      </c>
      <c r="H240" s="5">
        <f t="shared" si="41"/>
        <v>5.86</v>
      </c>
      <c r="I240" s="5">
        <f t="shared" si="41"/>
        <v>5.55</v>
      </c>
      <c r="J240" s="5">
        <f t="shared" si="41"/>
        <v>5.37</v>
      </c>
      <c r="K240" s="5">
        <f t="shared" si="41"/>
        <v>5.19</v>
      </c>
      <c r="L240" s="5">
        <f t="shared" si="41"/>
        <v>4.9</v>
      </c>
      <c r="M240" s="5">
        <f t="shared" si="41"/>
        <v>4.87</v>
      </c>
      <c r="N240" s="5">
        <f t="shared" si="41"/>
        <v>4.63</v>
      </c>
      <c r="O240" s="5">
        <f t="shared" si="41"/>
        <v>4.39</v>
      </c>
      <c r="P240" s="5">
        <f t="shared" si="41"/>
        <v>4.1</v>
      </c>
      <c r="Q240" s="5">
        <f t="shared" si="41"/>
        <v>3.54</v>
      </c>
      <c r="R240" s="5">
        <f t="shared" si="41"/>
        <v>2.79</v>
      </c>
      <c r="S240" s="5">
        <f t="shared" si="40"/>
        <v>2.55</v>
      </c>
      <c r="T240" s="5">
        <f t="shared" si="40"/>
        <v>2.02</v>
      </c>
      <c r="U240" s="5">
        <f t="shared" si="40"/>
        <v>1.5</v>
      </c>
      <c r="V240" s="5">
        <f t="shared" si="40"/>
        <v>1.4</v>
      </c>
      <c r="W240" s="5">
        <f t="shared" si="40"/>
        <v>1.1</v>
      </c>
      <c r="X240" s="5">
        <f t="shared" si="40"/>
        <v>0.95</v>
      </c>
      <c r="Y240" s="5">
        <f t="shared" si="40"/>
        <v>0.8</v>
      </c>
      <c r="Z240" s="5">
        <f t="shared" si="40"/>
        <v>0.77</v>
      </c>
      <c r="AA240" s="5">
        <f t="shared" si="40"/>
        <v>0.7</v>
      </c>
      <c r="AB240" s="5">
        <f t="shared" si="40"/>
        <v>0.6</v>
      </c>
      <c r="AC240" s="5">
        <f t="shared" si="40"/>
        <v>0.52</v>
      </c>
      <c r="AD240" s="5">
        <f t="shared" si="40"/>
        <v>0.5</v>
      </c>
      <c r="AE240" s="5">
        <f t="shared" si="40"/>
        <v>0.44</v>
      </c>
      <c r="AF240" s="5">
        <f t="shared" si="40"/>
        <v>0.41</v>
      </c>
      <c r="AG240" s="5">
        <f t="shared" si="40"/>
        <v>0.38</v>
      </c>
      <c r="AH240" s="5">
        <f t="shared" si="37"/>
        <v>0.28</v>
      </c>
      <c r="AI240" s="5">
        <f t="shared" si="37"/>
        <v>0.23</v>
      </c>
      <c r="AJ240" s="5">
        <f t="shared" si="37"/>
        <v>0.2</v>
      </c>
    </row>
    <row r="241" spans="1:36">
      <c r="A241" t="str">
        <f>"casthouse_procurement_archetype_"&amp;TEXT(ROUND(Table21319[[#This Row],[2016]],1),"0.0")</f>
        <v>casthouse_procurement_archetype_6.4</v>
      </c>
      <c r="B241" s="5">
        <f t="shared" si="34"/>
        <v>6.4</v>
      </c>
      <c r="C241" s="5">
        <f t="shared" si="41"/>
        <v>6.4</v>
      </c>
      <c r="D241" s="5">
        <f t="shared" si="41"/>
        <v>6.4</v>
      </c>
      <c r="E241" s="5">
        <f t="shared" si="41"/>
        <v>6.25</v>
      </c>
      <c r="F241" s="5">
        <f t="shared" si="41"/>
        <v>5.88</v>
      </c>
      <c r="G241" s="5">
        <f t="shared" si="41"/>
        <v>5.93</v>
      </c>
      <c r="H241" s="5">
        <f t="shared" si="41"/>
        <v>5.77</v>
      </c>
      <c r="I241" s="5">
        <f t="shared" si="41"/>
        <v>5.46</v>
      </c>
      <c r="J241" s="5">
        <f t="shared" si="41"/>
        <v>5.29</v>
      </c>
      <c r="K241" s="5">
        <f t="shared" si="41"/>
        <v>5.11</v>
      </c>
      <c r="L241" s="5">
        <f t="shared" si="41"/>
        <v>4.83</v>
      </c>
      <c r="M241" s="5">
        <f t="shared" si="41"/>
        <v>4.79</v>
      </c>
      <c r="N241" s="5">
        <f t="shared" si="41"/>
        <v>4.56</v>
      </c>
      <c r="O241" s="5">
        <f t="shared" si="41"/>
        <v>4.32</v>
      </c>
      <c r="P241" s="5">
        <f t="shared" si="41"/>
        <v>4.04</v>
      </c>
      <c r="Q241" s="5">
        <f t="shared" si="41"/>
        <v>3.49</v>
      </c>
      <c r="R241" s="5">
        <f t="shared" si="41"/>
        <v>2.75</v>
      </c>
      <c r="S241" s="5">
        <f t="shared" si="40"/>
        <v>2.51</v>
      </c>
      <c r="T241" s="5">
        <f t="shared" si="40"/>
        <v>1.99</v>
      </c>
      <c r="U241" s="5">
        <f t="shared" si="40"/>
        <v>1.48</v>
      </c>
      <c r="V241" s="5">
        <f t="shared" si="40"/>
        <v>1.38</v>
      </c>
      <c r="W241" s="5">
        <f t="shared" si="40"/>
        <v>1.09</v>
      </c>
      <c r="X241" s="5">
        <f t="shared" si="40"/>
        <v>0.94</v>
      </c>
      <c r="Y241" s="5">
        <f t="shared" si="40"/>
        <v>0.79</v>
      </c>
      <c r="Z241" s="5">
        <f t="shared" si="40"/>
        <v>0.77</v>
      </c>
      <c r="AA241" s="5">
        <f t="shared" si="40"/>
        <v>0.7</v>
      </c>
      <c r="AB241" s="5">
        <f t="shared" si="40"/>
        <v>0.59</v>
      </c>
      <c r="AC241" s="5">
        <f t="shared" si="40"/>
        <v>0.51</v>
      </c>
      <c r="AD241" s="5">
        <f t="shared" si="40"/>
        <v>0.5</v>
      </c>
      <c r="AE241" s="5">
        <f t="shared" si="40"/>
        <v>0.44</v>
      </c>
      <c r="AF241" s="5">
        <f t="shared" si="40"/>
        <v>0.41</v>
      </c>
      <c r="AG241" s="5">
        <f t="shared" si="40"/>
        <v>0.38</v>
      </c>
      <c r="AH241" s="5">
        <f t="shared" si="37"/>
        <v>0.28</v>
      </c>
      <c r="AI241" s="5">
        <f t="shared" si="37"/>
        <v>0.23</v>
      </c>
      <c r="AJ241" s="5">
        <f t="shared" si="37"/>
        <v>0.2</v>
      </c>
    </row>
    <row r="242" spans="1:36">
      <c r="A242" t="str">
        <f>"casthouse_procurement_archetype_"&amp;TEXT(ROUND(Table21319[[#This Row],[2016]],1),"0.0")</f>
        <v>casthouse_procurement_archetype_6.3</v>
      </c>
      <c r="B242" s="5">
        <f t="shared" si="34"/>
        <v>6.3</v>
      </c>
      <c r="C242" s="5">
        <f t="shared" si="41"/>
        <v>6.3</v>
      </c>
      <c r="D242" s="5">
        <f t="shared" si="41"/>
        <v>6.3</v>
      </c>
      <c r="E242" s="5">
        <f t="shared" si="41"/>
        <v>6.15</v>
      </c>
      <c r="F242" s="5">
        <f t="shared" si="41"/>
        <v>5.79</v>
      </c>
      <c r="G242" s="5">
        <f t="shared" si="41"/>
        <v>5.84</v>
      </c>
      <c r="H242" s="5">
        <f t="shared" si="41"/>
        <v>5.68</v>
      </c>
      <c r="I242" s="5">
        <f t="shared" si="41"/>
        <v>5.38</v>
      </c>
      <c r="J242" s="5">
        <f t="shared" si="41"/>
        <v>5.2</v>
      </c>
      <c r="K242" s="5">
        <f t="shared" si="41"/>
        <v>5.03</v>
      </c>
      <c r="L242" s="5">
        <f t="shared" si="41"/>
        <v>4.75</v>
      </c>
      <c r="M242" s="5">
        <f t="shared" si="41"/>
        <v>4.72</v>
      </c>
      <c r="N242" s="5">
        <f t="shared" si="41"/>
        <v>4.49</v>
      </c>
      <c r="O242" s="5">
        <f t="shared" si="41"/>
        <v>4.26</v>
      </c>
      <c r="P242" s="5">
        <f t="shared" si="41"/>
        <v>3.98</v>
      </c>
      <c r="Q242" s="5">
        <f t="shared" si="41"/>
        <v>3.43</v>
      </c>
      <c r="R242" s="5">
        <f t="shared" si="41"/>
        <v>2.7</v>
      </c>
      <c r="S242" s="5">
        <f t="shared" si="40"/>
        <v>2.47</v>
      </c>
      <c r="T242" s="5">
        <f t="shared" si="40"/>
        <v>1.96</v>
      </c>
      <c r="U242" s="5">
        <f t="shared" si="40"/>
        <v>1.45</v>
      </c>
      <c r="V242" s="5">
        <f t="shared" si="40"/>
        <v>1.36</v>
      </c>
      <c r="W242" s="5">
        <f t="shared" si="40"/>
        <v>1.07</v>
      </c>
      <c r="X242" s="5">
        <f t="shared" si="40"/>
        <v>0.93</v>
      </c>
      <c r="Y242" s="5">
        <f t="shared" si="40"/>
        <v>0.78</v>
      </c>
      <c r="Z242" s="5">
        <f t="shared" si="40"/>
        <v>0.76</v>
      </c>
      <c r="AA242" s="5">
        <f t="shared" si="40"/>
        <v>0.69</v>
      </c>
      <c r="AB242" s="5">
        <f t="shared" si="40"/>
        <v>0.59</v>
      </c>
      <c r="AC242" s="5">
        <f t="shared" si="40"/>
        <v>0.51</v>
      </c>
      <c r="AD242" s="5">
        <f t="shared" si="40"/>
        <v>0.49</v>
      </c>
      <c r="AE242" s="5">
        <f t="shared" si="40"/>
        <v>0.44</v>
      </c>
      <c r="AF242" s="5">
        <f t="shared" si="40"/>
        <v>0.4</v>
      </c>
      <c r="AG242" s="5">
        <f t="shared" si="40"/>
        <v>0.38</v>
      </c>
      <c r="AH242" s="5">
        <f t="shared" si="37"/>
        <v>0.28</v>
      </c>
      <c r="AI242" s="5">
        <f t="shared" si="37"/>
        <v>0.23</v>
      </c>
      <c r="AJ242" s="5">
        <f t="shared" si="37"/>
        <v>0.2</v>
      </c>
    </row>
    <row r="243" spans="1:36">
      <c r="A243" t="str">
        <f>"casthouse_procurement_archetype_"&amp;TEXT(ROUND(Table21319[[#This Row],[2016]],1),"0.0")</f>
        <v>casthouse_procurement_archetype_6.2</v>
      </c>
      <c r="B243" s="5">
        <f t="shared" si="34"/>
        <v>6.2</v>
      </c>
      <c r="C243" s="5">
        <f t="shared" si="41"/>
        <v>6.2</v>
      </c>
      <c r="D243" s="5">
        <f t="shared" si="41"/>
        <v>6.2</v>
      </c>
      <c r="E243" s="5">
        <f t="shared" si="41"/>
        <v>6.05</v>
      </c>
      <c r="F243" s="5">
        <f t="shared" si="41"/>
        <v>5.7</v>
      </c>
      <c r="G243" s="5">
        <f t="shared" si="41"/>
        <v>5.75</v>
      </c>
      <c r="H243" s="5">
        <f t="shared" si="41"/>
        <v>5.59</v>
      </c>
      <c r="I243" s="5">
        <f t="shared" si="41"/>
        <v>5.29</v>
      </c>
      <c r="J243" s="5">
        <f t="shared" si="41"/>
        <v>5.12</v>
      </c>
      <c r="K243" s="5">
        <f t="shared" si="41"/>
        <v>4.95</v>
      </c>
      <c r="L243" s="5">
        <f t="shared" si="41"/>
        <v>4.68</v>
      </c>
      <c r="M243" s="5">
        <f t="shared" si="41"/>
        <v>4.64</v>
      </c>
      <c r="N243" s="5">
        <f t="shared" si="41"/>
        <v>4.42</v>
      </c>
      <c r="O243" s="5">
        <f t="shared" si="41"/>
        <v>4.19</v>
      </c>
      <c r="P243" s="5">
        <f t="shared" si="41"/>
        <v>3.91</v>
      </c>
      <c r="Q243" s="5">
        <f t="shared" si="41"/>
        <v>3.38</v>
      </c>
      <c r="R243" s="5">
        <f t="shared" si="41"/>
        <v>2.66</v>
      </c>
      <c r="S243" s="5">
        <f t="shared" si="40"/>
        <v>2.43</v>
      </c>
      <c r="T243" s="5">
        <f t="shared" si="40"/>
        <v>1.94</v>
      </c>
      <c r="U243" s="5">
        <f t="shared" si="40"/>
        <v>1.43</v>
      </c>
      <c r="V243" s="5">
        <f t="shared" si="40"/>
        <v>1.34</v>
      </c>
      <c r="W243" s="5">
        <f t="shared" si="40"/>
        <v>1.06</v>
      </c>
      <c r="X243" s="5">
        <f t="shared" si="40"/>
        <v>0.92</v>
      </c>
      <c r="Y243" s="5">
        <f t="shared" si="40"/>
        <v>0.77</v>
      </c>
      <c r="Z243" s="5">
        <f t="shared" si="40"/>
        <v>0.75</v>
      </c>
      <c r="AA243" s="5">
        <f t="shared" si="40"/>
        <v>0.68</v>
      </c>
      <c r="AB243" s="5">
        <f t="shared" si="40"/>
        <v>0.58</v>
      </c>
      <c r="AC243" s="5">
        <f t="shared" si="40"/>
        <v>0.5</v>
      </c>
      <c r="AD243" s="5">
        <f t="shared" si="40"/>
        <v>0.49</v>
      </c>
      <c r="AE243" s="5">
        <f t="shared" si="40"/>
        <v>0.43</v>
      </c>
      <c r="AF243" s="5">
        <f t="shared" si="40"/>
        <v>0.4</v>
      </c>
      <c r="AG243" s="5">
        <f t="shared" si="40"/>
        <v>0.37</v>
      </c>
      <c r="AH243" s="5">
        <f t="shared" si="37"/>
        <v>0.28</v>
      </c>
      <c r="AI243" s="5">
        <f t="shared" si="37"/>
        <v>0.23</v>
      </c>
      <c r="AJ243" s="5">
        <f t="shared" si="37"/>
        <v>0.2</v>
      </c>
    </row>
    <row r="244" spans="1:36">
      <c r="A244" t="str">
        <f>"casthouse_procurement_archetype_"&amp;TEXT(ROUND(Table21319[[#This Row],[2016]],1),"0.0")</f>
        <v>casthouse_procurement_archetype_6.1</v>
      </c>
      <c r="B244" s="5">
        <f t="shared" si="34"/>
        <v>6.1</v>
      </c>
      <c r="C244" s="5">
        <f t="shared" si="41"/>
        <v>6.1</v>
      </c>
      <c r="D244" s="5">
        <f t="shared" si="41"/>
        <v>6.1</v>
      </c>
      <c r="E244" s="5">
        <f t="shared" si="41"/>
        <v>5.95</v>
      </c>
      <c r="F244" s="5">
        <f t="shared" si="41"/>
        <v>5.6</v>
      </c>
      <c r="G244" s="5">
        <f t="shared" si="41"/>
        <v>5.65</v>
      </c>
      <c r="H244" s="5">
        <f t="shared" si="41"/>
        <v>5.5</v>
      </c>
      <c r="I244" s="5">
        <f t="shared" si="41"/>
        <v>5.21</v>
      </c>
      <c r="J244" s="5">
        <f t="shared" si="41"/>
        <v>5.04</v>
      </c>
      <c r="K244" s="5">
        <f t="shared" si="41"/>
        <v>4.87</v>
      </c>
      <c r="L244" s="5">
        <f t="shared" si="41"/>
        <v>4.6</v>
      </c>
      <c r="M244" s="5">
        <f t="shared" si="41"/>
        <v>4.57</v>
      </c>
      <c r="N244" s="5">
        <f t="shared" si="41"/>
        <v>4.35</v>
      </c>
      <c r="O244" s="5">
        <f t="shared" si="41"/>
        <v>4.12</v>
      </c>
      <c r="P244" s="5">
        <f t="shared" si="41"/>
        <v>3.85</v>
      </c>
      <c r="Q244" s="5">
        <f t="shared" si="41"/>
        <v>3.33</v>
      </c>
      <c r="R244" s="5">
        <f t="shared" si="41"/>
        <v>2.62</v>
      </c>
      <c r="S244" s="5">
        <f t="shared" si="40"/>
        <v>2.4</v>
      </c>
      <c r="T244" s="5">
        <f t="shared" si="40"/>
        <v>1.91</v>
      </c>
      <c r="U244" s="5">
        <f t="shared" si="40"/>
        <v>1.41</v>
      </c>
      <c r="V244" s="5">
        <f t="shared" si="40"/>
        <v>1.32</v>
      </c>
      <c r="W244" s="5">
        <f t="shared" si="40"/>
        <v>1.05</v>
      </c>
      <c r="X244" s="5">
        <f t="shared" si="40"/>
        <v>0.91</v>
      </c>
      <c r="Y244" s="5">
        <f t="shared" si="40"/>
        <v>0.76</v>
      </c>
      <c r="Z244" s="5">
        <f t="shared" si="40"/>
        <v>0.74</v>
      </c>
      <c r="AA244" s="5">
        <f t="shared" si="40"/>
        <v>0.67</v>
      </c>
      <c r="AB244" s="5">
        <f t="shared" si="40"/>
        <v>0.57</v>
      </c>
      <c r="AC244" s="5">
        <f t="shared" si="40"/>
        <v>0.5</v>
      </c>
      <c r="AD244" s="5">
        <f t="shared" si="40"/>
        <v>0.48</v>
      </c>
      <c r="AE244" s="5">
        <f t="shared" si="40"/>
        <v>0.43</v>
      </c>
      <c r="AF244" s="5">
        <f t="shared" si="40"/>
        <v>0.4</v>
      </c>
      <c r="AG244" s="5">
        <f t="shared" si="40"/>
        <v>0.37</v>
      </c>
      <c r="AH244" s="5">
        <f t="shared" si="37"/>
        <v>0.28</v>
      </c>
      <c r="AI244" s="5">
        <f t="shared" si="37"/>
        <v>0.23</v>
      </c>
      <c r="AJ244" s="5">
        <f t="shared" si="37"/>
        <v>0.2</v>
      </c>
    </row>
    <row r="245" spans="1:36">
      <c r="A245" t="str">
        <f>"casthouse_procurement_archetype_"&amp;TEXT(ROUND(Table21319[[#This Row],[2016]],1),"0.0")</f>
        <v>casthouse_procurement_archetype_6.0</v>
      </c>
      <c r="B245" s="5">
        <f t="shared" si="34"/>
        <v>6</v>
      </c>
      <c r="C245" s="5">
        <f t="shared" si="41"/>
        <v>6</v>
      </c>
      <c r="D245" s="5">
        <f t="shared" si="41"/>
        <v>6</v>
      </c>
      <c r="E245" s="5">
        <f t="shared" si="41"/>
        <v>5.86</v>
      </c>
      <c r="F245" s="5">
        <f t="shared" si="41"/>
        <v>5.51</v>
      </c>
      <c r="G245" s="5">
        <f t="shared" si="41"/>
        <v>5.56</v>
      </c>
      <c r="H245" s="5">
        <f t="shared" si="41"/>
        <v>5.41</v>
      </c>
      <c r="I245" s="5">
        <f t="shared" si="41"/>
        <v>5.12</v>
      </c>
      <c r="J245" s="5">
        <f t="shared" si="41"/>
        <v>4.96</v>
      </c>
      <c r="K245" s="5">
        <f t="shared" si="41"/>
        <v>4.79</v>
      </c>
      <c r="L245" s="5">
        <f t="shared" si="41"/>
        <v>4.53</v>
      </c>
      <c r="M245" s="5">
        <f t="shared" si="41"/>
        <v>4.5</v>
      </c>
      <c r="N245" s="5">
        <f t="shared" si="41"/>
        <v>4.28</v>
      </c>
      <c r="O245" s="5">
        <f t="shared" si="41"/>
        <v>4.06</v>
      </c>
      <c r="P245" s="5">
        <f t="shared" si="41"/>
        <v>3.79</v>
      </c>
      <c r="Q245" s="5">
        <f t="shared" si="41"/>
        <v>3.28</v>
      </c>
      <c r="R245" s="5">
        <f t="shared" si="41"/>
        <v>2.58</v>
      </c>
      <c r="S245" s="5">
        <f t="shared" si="40"/>
        <v>2.36</v>
      </c>
      <c r="T245" s="5">
        <f t="shared" si="40"/>
        <v>1.88</v>
      </c>
      <c r="U245" s="5">
        <f t="shared" si="40"/>
        <v>1.39</v>
      </c>
      <c r="V245" s="5">
        <f t="shared" si="40"/>
        <v>1.3</v>
      </c>
      <c r="W245" s="5">
        <f t="shared" si="40"/>
        <v>1.03</v>
      </c>
      <c r="X245" s="5">
        <f t="shared" si="40"/>
        <v>0.89</v>
      </c>
      <c r="Y245" s="5">
        <f t="shared" si="40"/>
        <v>0.75</v>
      </c>
      <c r="Z245" s="5">
        <f t="shared" si="40"/>
        <v>0.73</v>
      </c>
      <c r="AA245" s="5">
        <f t="shared" si="40"/>
        <v>0.66</v>
      </c>
      <c r="AB245" s="5">
        <f t="shared" si="40"/>
        <v>0.57</v>
      </c>
      <c r="AC245" s="5">
        <f t="shared" si="40"/>
        <v>0.49</v>
      </c>
      <c r="AD245" s="5">
        <f t="shared" si="40"/>
        <v>0.48</v>
      </c>
      <c r="AE245" s="5">
        <f t="shared" si="40"/>
        <v>0.43</v>
      </c>
      <c r="AF245" s="5">
        <f t="shared" si="40"/>
        <v>0.39</v>
      </c>
      <c r="AG245" s="5">
        <f t="shared" si="40"/>
        <v>0.37</v>
      </c>
      <c r="AH245" s="5">
        <f t="shared" si="37"/>
        <v>0.28</v>
      </c>
      <c r="AI245" s="5">
        <f t="shared" si="37"/>
        <v>0.22</v>
      </c>
      <c r="AJ245" s="5">
        <f t="shared" si="37"/>
        <v>0.2</v>
      </c>
    </row>
    <row r="246" spans="1:36">
      <c r="A246" t="str">
        <f>"casthouse_procurement_archetype_"&amp;TEXT(ROUND(Table21319[[#This Row],[2016]],1),"0.0")</f>
        <v>casthouse_procurement_archetype_5.9</v>
      </c>
      <c r="B246" s="5">
        <f t="shared" si="34"/>
        <v>5.9</v>
      </c>
      <c r="C246" s="5">
        <f t="shared" si="41"/>
        <v>5.9</v>
      </c>
      <c r="D246" s="5">
        <f t="shared" si="41"/>
        <v>5.9</v>
      </c>
      <c r="E246" s="5">
        <f t="shared" si="41"/>
        <v>5.76</v>
      </c>
      <c r="F246" s="5">
        <f t="shared" si="41"/>
        <v>5.42</v>
      </c>
      <c r="G246" s="5">
        <f t="shared" si="41"/>
        <v>5.47</v>
      </c>
      <c r="H246" s="5">
        <f t="shared" si="41"/>
        <v>5.32</v>
      </c>
      <c r="I246" s="5">
        <f t="shared" si="41"/>
        <v>5.04</v>
      </c>
      <c r="J246" s="5">
        <f t="shared" si="41"/>
        <v>4.88</v>
      </c>
      <c r="K246" s="5">
        <f t="shared" si="41"/>
        <v>4.71</v>
      </c>
      <c r="L246" s="5">
        <f t="shared" si="41"/>
        <v>4.45</v>
      </c>
      <c r="M246" s="5">
        <f t="shared" si="41"/>
        <v>4.42</v>
      </c>
      <c r="N246" s="5">
        <f t="shared" si="41"/>
        <v>4.21</v>
      </c>
      <c r="O246" s="5">
        <f t="shared" si="41"/>
        <v>3.99</v>
      </c>
      <c r="P246" s="5">
        <f t="shared" si="41"/>
        <v>3.73</v>
      </c>
      <c r="Q246" s="5">
        <f t="shared" si="41"/>
        <v>3.22</v>
      </c>
      <c r="R246" s="5">
        <f t="shared" si="41"/>
        <v>2.54</v>
      </c>
      <c r="S246" s="5">
        <f t="shared" si="40"/>
        <v>2.32</v>
      </c>
      <c r="T246" s="5">
        <f t="shared" si="40"/>
        <v>1.85</v>
      </c>
      <c r="U246" s="5">
        <f t="shared" si="40"/>
        <v>1.37</v>
      </c>
      <c r="V246" s="5">
        <f t="shared" si="40"/>
        <v>1.28</v>
      </c>
      <c r="W246" s="5">
        <f t="shared" si="40"/>
        <v>1.02</v>
      </c>
      <c r="X246" s="5">
        <f t="shared" si="40"/>
        <v>0.88</v>
      </c>
      <c r="Y246" s="5">
        <f t="shared" si="40"/>
        <v>0.74</v>
      </c>
      <c r="Z246" s="5">
        <f t="shared" si="40"/>
        <v>0.72</v>
      </c>
      <c r="AA246" s="5">
        <f t="shared" si="40"/>
        <v>0.66</v>
      </c>
      <c r="AB246" s="5">
        <f t="shared" si="40"/>
        <v>0.56</v>
      </c>
      <c r="AC246" s="5">
        <f t="shared" si="40"/>
        <v>0.49</v>
      </c>
      <c r="AD246" s="5">
        <f t="shared" si="40"/>
        <v>0.47</v>
      </c>
      <c r="AE246" s="5">
        <f t="shared" si="40"/>
        <v>0.42</v>
      </c>
      <c r="AF246" s="5">
        <f t="shared" si="40"/>
        <v>0.39</v>
      </c>
      <c r="AG246" s="5">
        <f t="shared" si="40"/>
        <v>0.37</v>
      </c>
      <c r="AH246" s="5">
        <f t="shared" si="37"/>
        <v>0.28</v>
      </c>
      <c r="AI246" s="5">
        <f t="shared" si="37"/>
        <v>0.22</v>
      </c>
      <c r="AJ246" s="5">
        <f t="shared" si="37"/>
        <v>0.2</v>
      </c>
    </row>
    <row r="247" spans="1:36">
      <c r="A247" t="str">
        <f>"casthouse_procurement_archetype_"&amp;TEXT(ROUND(Table21319[[#This Row],[2016]],1),"0.0")</f>
        <v>casthouse_procurement_archetype_5.8</v>
      </c>
      <c r="B247" s="5">
        <f t="shared" si="34"/>
        <v>5.8</v>
      </c>
      <c r="C247" s="5">
        <f t="shared" si="41"/>
        <v>5.8</v>
      </c>
      <c r="D247" s="5">
        <f t="shared" si="41"/>
        <v>5.8</v>
      </c>
      <c r="E247" s="5">
        <f t="shared" si="41"/>
        <v>5.66</v>
      </c>
      <c r="F247" s="5">
        <f t="shared" si="41"/>
        <v>5.33</v>
      </c>
      <c r="G247" s="5">
        <f t="shared" si="41"/>
        <v>5.38</v>
      </c>
      <c r="H247" s="5">
        <f t="shared" si="41"/>
        <v>5.23</v>
      </c>
      <c r="I247" s="5">
        <f t="shared" si="41"/>
        <v>4.95</v>
      </c>
      <c r="J247" s="5">
        <f t="shared" si="41"/>
        <v>4.79</v>
      </c>
      <c r="K247" s="5">
        <f t="shared" si="41"/>
        <v>4.63</v>
      </c>
      <c r="L247" s="5">
        <f t="shared" si="41"/>
        <v>4.38</v>
      </c>
      <c r="M247" s="5">
        <f t="shared" si="41"/>
        <v>4.35</v>
      </c>
      <c r="N247" s="5">
        <f t="shared" si="41"/>
        <v>4.14</v>
      </c>
      <c r="O247" s="5">
        <f t="shared" si="41"/>
        <v>3.92</v>
      </c>
      <c r="P247" s="5">
        <f t="shared" si="41"/>
        <v>3.67</v>
      </c>
      <c r="Q247" s="5">
        <f t="shared" si="41"/>
        <v>3.17</v>
      </c>
      <c r="R247" s="5">
        <f t="shared" si="41"/>
        <v>2.5</v>
      </c>
      <c r="S247" s="5">
        <f t="shared" si="40"/>
        <v>2.29</v>
      </c>
      <c r="T247" s="5">
        <f t="shared" si="40"/>
        <v>1.82</v>
      </c>
      <c r="U247" s="5">
        <f t="shared" si="40"/>
        <v>1.35</v>
      </c>
      <c r="V247" s="5">
        <f t="shared" si="40"/>
        <v>1.26</v>
      </c>
      <c r="W247" s="5">
        <f t="shared" si="40"/>
        <v>1</v>
      </c>
      <c r="X247" s="5">
        <f t="shared" si="40"/>
        <v>0.87</v>
      </c>
      <c r="Y247" s="5">
        <f t="shared" si="40"/>
        <v>0.73</v>
      </c>
      <c r="Z247" s="5">
        <f t="shared" si="40"/>
        <v>0.71</v>
      </c>
      <c r="AA247" s="5">
        <f t="shared" si="40"/>
        <v>0.65</v>
      </c>
      <c r="AB247" s="5">
        <f t="shared" si="40"/>
        <v>0.56</v>
      </c>
      <c r="AC247" s="5">
        <f t="shared" si="40"/>
        <v>0.48</v>
      </c>
      <c r="AD247" s="5">
        <f t="shared" si="40"/>
        <v>0.47</v>
      </c>
      <c r="AE247" s="5">
        <f t="shared" si="40"/>
        <v>0.42</v>
      </c>
      <c r="AF247" s="5">
        <f t="shared" si="40"/>
        <v>0.39</v>
      </c>
      <c r="AG247" s="5">
        <f t="shared" si="40"/>
        <v>0.36</v>
      </c>
      <c r="AH247" s="5">
        <f t="shared" si="37"/>
        <v>0.27</v>
      </c>
      <c r="AI247" s="5">
        <f t="shared" si="37"/>
        <v>0.22</v>
      </c>
      <c r="AJ247" s="5">
        <f t="shared" si="37"/>
        <v>0.2</v>
      </c>
    </row>
    <row r="248" spans="1:36">
      <c r="A248" t="str">
        <f>"casthouse_procurement_archetype_"&amp;TEXT(ROUND(Table21319[[#This Row],[2016]],1),"0.0")</f>
        <v>casthouse_procurement_archetype_5.7</v>
      </c>
      <c r="B248" s="5">
        <f t="shared" si="34"/>
        <v>5.7</v>
      </c>
      <c r="C248" s="5">
        <f t="shared" si="41"/>
        <v>5.7</v>
      </c>
      <c r="D248" s="5">
        <f t="shared" si="41"/>
        <v>5.7</v>
      </c>
      <c r="E248" s="5">
        <f t="shared" si="41"/>
        <v>5.56</v>
      </c>
      <c r="F248" s="5">
        <f t="shared" si="41"/>
        <v>5.24</v>
      </c>
      <c r="G248" s="5">
        <f t="shared" si="41"/>
        <v>5.28</v>
      </c>
      <c r="H248" s="5">
        <f t="shared" si="41"/>
        <v>5.14</v>
      </c>
      <c r="I248" s="5">
        <f t="shared" si="41"/>
        <v>4.87</v>
      </c>
      <c r="J248" s="5">
        <f t="shared" si="41"/>
        <v>4.71</v>
      </c>
      <c r="K248" s="5">
        <f t="shared" si="41"/>
        <v>4.55</v>
      </c>
      <c r="L248" s="5">
        <f t="shared" si="41"/>
        <v>4.3</v>
      </c>
      <c r="M248" s="5">
        <f t="shared" si="41"/>
        <v>4.27</v>
      </c>
      <c r="N248" s="5">
        <f t="shared" si="41"/>
        <v>4.07</v>
      </c>
      <c r="O248" s="5">
        <f t="shared" si="41"/>
        <v>3.86</v>
      </c>
      <c r="P248" s="5">
        <f t="shared" si="41"/>
        <v>3.61</v>
      </c>
      <c r="Q248" s="5">
        <f t="shared" si="41"/>
        <v>3.12</v>
      </c>
      <c r="R248" s="5">
        <f t="shared" si="41"/>
        <v>2.46</v>
      </c>
      <c r="S248" s="5">
        <f t="shared" si="40"/>
        <v>2.25</v>
      </c>
      <c r="T248" s="5">
        <f t="shared" si="40"/>
        <v>1.79</v>
      </c>
      <c r="U248" s="5">
        <f t="shared" si="40"/>
        <v>1.33</v>
      </c>
      <c r="V248" s="5">
        <f t="shared" si="40"/>
        <v>1.25</v>
      </c>
      <c r="W248" s="5">
        <f t="shared" si="40"/>
        <v>0.99</v>
      </c>
      <c r="X248" s="5">
        <f t="shared" si="40"/>
        <v>0.86</v>
      </c>
      <c r="Y248" s="5">
        <f t="shared" si="40"/>
        <v>0.72</v>
      </c>
      <c r="Z248" s="5">
        <f t="shared" si="40"/>
        <v>0.7</v>
      </c>
      <c r="AA248" s="5">
        <f t="shared" si="40"/>
        <v>0.64</v>
      </c>
      <c r="AB248" s="5">
        <f t="shared" si="40"/>
        <v>0.55</v>
      </c>
      <c r="AC248" s="5">
        <f t="shared" si="40"/>
        <v>0.48</v>
      </c>
      <c r="AD248" s="5">
        <f t="shared" si="40"/>
        <v>0.46</v>
      </c>
      <c r="AE248" s="5">
        <f t="shared" si="40"/>
        <v>0.41</v>
      </c>
      <c r="AF248" s="5">
        <f t="shared" si="40"/>
        <v>0.38</v>
      </c>
      <c r="AG248" s="5">
        <f t="shared" si="40"/>
        <v>0.36</v>
      </c>
      <c r="AH248" s="5">
        <f t="shared" si="37"/>
        <v>0.27</v>
      </c>
      <c r="AI248" s="5">
        <f t="shared" si="37"/>
        <v>0.22</v>
      </c>
      <c r="AJ248" s="5">
        <f t="shared" si="37"/>
        <v>0.2</v>
      </c>
    </row>
    <row r="249" spans="1:36">
      <c r="A249" t="str">
        <f>"casthouse_procurement_archetype_"&amp;TEXT(ROUND(Table21319[[#This Row],[2016]],1),"0.0")</f>
        <v>casthouse_procurement_archetype_5.6</v>
      </c>
      <c r="B249" s="5">
        <f t="shared" si="34"/>
        <v>5.6</v>
      </c>
      <c r="C249" s="5">
        <f t="shared" si="41"/>
        <v>5.6</v>
      </c>
      <c r="D249" s="5">
        <f t="shared" si="41"/>
        <v>5.6</v>
      </c>
      <c r="E249" s="5">
        <f t="shared" si="41"/>
        <v>5.47</v>
      </c>
      <c r="F249" s="5">
        <f t="shared" si="41"/>
        <v>5.15</v>
      </c>
      <c r="G249" s="5">
        <f t="shared" si="41"/>
        <v>5.19</v>
      </c>
      <c r="H249" s="5">
        <f t="shared" si="41"/>
        <v>5.05</v>
      </c>
      <c r="I249" s="5">
        <f t="shared" si="41"/>
        <v>4.78</v>
      </c>
      <c r="J249" s="5">
        <f t="shared" si="41"/>
        <v>4.63</v>
      </c>
      <c r="K249" s="5">
        <f t="shared" si="41"/>
        <v>4.48</v>
      </c>
      <c r="L249" s="5">
        <f t="shared" si="41"/>
        <v>4.23</v>
      </c>
      <c r="M249" s="5">
        <f t="shared" si="41"/>
        <v>4.2</v>
      </c>
      <c r="N249" s="5">
        <f t="shared" si="41"/>
        <v>4</v>
      </c>
      <c r="O249" s="5">
        <f t="shared" si="41"/>
        <v>3.79</v>
      </c>
      <c r="P249" s="5">
        <f t="shared" si="41"/>
        <v>3.54</v>
      </c>
      <c r="Q249" s="5">
        <f t="shared" si="41"/>
        <v>3.06</v>
      </c>
      <c r="R249" s="5">
        <f t="shared" si="41"/>
        <v>2.42</v>
      </c>
      <c r="S249" s="5">
        <f t="shared" si="40"/>
        <v>2.21</v>
      </c>
      <c r="T249" s="5">
        <f t="shared" si="40"/>
        <v>1.76</v>
      </c>
      <c r="U249" s="5">
        <f t="shared" si="40"/>
        <v>1.31</v>
      </c>
      <c r="V249" s="5">
        <f t="shared" si="40"/>
        <v>1.23</v>
      </c>
      <c r="W249" s="5">
        <f t="shared" si="40"/>
        <v>0.97</v>
      </c>
      <c r="X249" s="5">
        <f t="shared" si="40"/>
        <v>0.85</v>
      </c>
      <c r="Y249" s="5">
        <f t="shared" si="40"/>
        <v>0.71</v>
      </c>
      <c r="Z249" s="5">
        <f t="shared" si="40"/>
        <v>0.69</v>
      </c>
      <c r="AA249" s="5">
        <f t="shared" si="40"/>
        <v>0.63</v>
      </c>
      <c r="AB249" s="5">
        <f t="shared" si="40"/>
        <v>0.54</v>
      </c>
      <c r="AC249" s="5">
        <f t="shared" si="40"/>
        <v>0.47</v>
      </c>
      <c r="AD249" s="5">
        <f t="shared" si="40"/>
        <v>0.46</v>
      </c>
      <c r="AE249" s="5">
        <f t="shared" si="40"/>
        <v>0.41</v>
      </c>
      <c r="AF249" s="5">
        <f t="shared" si="40"/>
        <v>0.38</v>
      </c>
      <c r="AG249" s="5">
        <f t="shared" si="40"/>
        <v>0.36</v>
      </c>
      <c r="AH249" s="5">
        <f t="shared" si="37"/>
        <v>0.27</v>
      </c>
      <c r="AI249" s="5">
        <f t="shared" si="37"/>
        <v>0.22</v>
      </c>
      <c r="AJ249" s="5">
        <f t="shared" si="37"/>
        <v>0.2</v>
      </c>
    </row>
    <row r="250" spans="1:36">
      <c r="A250" t="str">
        <f>"casthouse_procurement_archetype_"&amp;TEXT(ROUND(Table21319[[#This Row],[2016]],1),"0.0")</f>
        <v>casthouse_procurement_archetype_5.5</v>
      </c>
      <c r="B250" s="5">
        <f t="shared" si="34"/>
        <v>5.5</v>
      </c>
      <c r="C250" s="5">
        <f t="shared" si="41"/>
        <v>5.5</v>
      </c>
      <c r="D250" s="5">
        <f t="shared" si="41"/>
        <v>5.5</v>
      </c>
      <c r="E250" s="5">
        <f t="shared" si="41"/>
        <v>5.37</v>
      </c>
      <c r="F250" s="5">
        <f t="shared" si="41"/>
        <v>5.05</v>
      </c>
      <c r="G250" s="5">
        <f t="shared" si="41"/>
        <v>5.1</v>
      </c>
      <c r="H250" s="5">
        <f t="shared" si="41"/>
        <v>4.96</v>
      </c>
      <c r="I250" s="5">
        <f t="shared" si="41"/>
        <v>4.7</v>
      </c>
      <c r="J250" s="5">
        <f t="shared" si="41"/>
        <v>4.55</v>
      </c>
      <c r="K250" s="5">
        <f t="shared" si="41"/>
        <v>4.4</v>
      </c>
      <c r="L250" s="5">
        <f t="shared" si="41"/>
        <v>4.15</v>
      </c>
      <c r="M250" s="5">
        <f t="shared" si="41"/>
        <v>4.13</v>
      </c>
      <c r="N250" s="5">
        <f t="shared" si="41"/>
        <v>3.93</v>
      </c>
      <c r="O250" s="5">
        <f t="shared" si="41"/>
        <v>3.72</v>
      </c>
      <c r="P250" s="5">
        <f t="shared" si="41"/>
        <v>3.48</v>
      </c>
      <c r="Q250" s="5">
        <f t="shared" si="41"/>
        <v>3.01</v>
      </c>
      <c r="R250" s="5">
        <f t="shared" si="41"/>
        <v>2.38</v>
      </c>
      <c r="S250" s="5">
        <f t="shared" si="40"/>
        <v>2.17</v>
      </c>
      <c r="T250" s="5">
        <f t="shared" si="40"/>
        <v>1.73</v>
      </c>
      <c r="U250" s="5">
        <f t="shared" si="40"/>
        <v>1.29</v>
      </c>
      <c r="V250" s="5">
        <f t="shared" si="40"/>
        <v>1.21</v>
      </c>
      <c r="W250" s="5">
        <f t="shared" si="40"/>
        <v>0.96</v>
      </c>
      <c r="X250" s="5">
        <f t="shared" si="40"/>
        <v>0.83</v>
      </c>
      <c r="Y250" s="5">
        <f t="shared" si="40"/>
        <v>0.7</v>
      </c>
      <c r="Z250" s="5">
        <f t="shared" si="40"/>
        <v>0.68</v>
      </c>
      <c r="AA250" s="5">
        <f t="shared" si="40"/>
        <v>0.62</v>
      </c>
      <c r="AB250" s="5">
        <f t="shared" si="40"/>
        <v>0.54</v>
      </c>
      <c r="AC250" s="5">
        <f t="shared" si="40"/>
        <v>0.47</v>
      </c>
      <c r="AD250" s="5">
        <f t="shared" si="40"/>
        <v>0.45</v>
      </c>
      <c r="AE250" s="5">
        <f t="shared" si="40"/>
        <v>0.41</v>
      </c>
      <c r="AF250" s="5">
        <f t="shared" si="40"/>
        <v>0.38</v>
      </c>
      <c r="AG250" s="5">
        <f t="shared" si="40"/>
        <v>0.35</v>
      </c>
      <c r="AH250" s="5">
        <f t="shared" si="37"/>
        <v>0.27</v>
      </c>
      <c r="AI250" s="5">
        <f t="shared" si="37"/>
        <v>0.22</v>
      </c>
      <c r="AJ250" s="5">
        <f t="shared" si="37"/>
        <v>0.2</v>
      </c>
    </row>
    <row r="251" spans="1:36">
      <c r="A251" t="str">
        <f>"casthouse_procurement_archetype_"&amp;TEXT(ROUND(Table21319[[#This Row],[2016]],1),"0.0")</f>
        <v>casthouse_procurement_archetype_5.4</v>
      </c>
      <c r="B251" s="5">
        <f t="shared" si="34"/>
        <v>5.4</v>
      </c>
      <c r="C251" s="5">
        <f t="shared" si="41"/>
        <v>5.4</v>
      </c>
      <c r="D251" s="5">
        <f t="shared" si="41"/>
        <v>5.4</v>
      </c>
      <c r="E251" s="5">
        <f t="shared" si="41"/>
        <v>5.27</v>
      </c>
      <c r="F251" s="5">
        <f t="shared" si="41"/>
        <v>4.96</v>
      </c>
      <c r="G251" s="5">
        <f t="shared" si="41"/>
        <v>5.01</v>
      </c>
      <c r="H251" s="5">
        <f t="shared" si="41"/>
        <v>4.87</v>
      </c>
      <c r="I251" s="5">
        <f t="shared" si="41"/>
        <v>4.61</v>
      </c>
      <c r="J251" s="5">
        <f t="shared" si="41"/>
        <v>4.47</v>
      </c>
      <c r="K251" s="5">
        <f t="shared" si="41"/>
        <v>4.32</v>
      </c>
      <c r="L251" s="5">
        <f t="shared" si="41"/>
        <v>4.08</v>
      </c>
      <c r="M251" s="5">
        <f t="shared" si="41"/>
        <v>4.05</v>
      </c>
      <c r="N251" s="5">
        <f t="shared" si="41"/>
        <v>3.86</v>
      </c>
      <c r="O251" s="5">
        <f t="shared" si="41"/>
        <v>3.66</v>
      </c>
      <c r="P251" s="5">
        <f t="shared" si="41"/>
        <v>3.42</v>
      </c>
      <c r="Q251" s="5">
        <f t="shared" si="41"/>
        <v>2.96</v>
      </c>
      <c r="R251" s="5">
        <f t="shared" si="41"/>
        <v>2.33</v>
      </c>
      <c r="S251" s="5">
        <f t="shared" si="40"/>
        <v>2.14</v>
      </c>
      <c r="T251" s="5">
        <f t="shared" si="40"/>
        <v>1.7</v>
      </c>
      <c r="U251" s="5">
        <f t="shared" si="40"/>
        <v>1.27</v>
      </c>
      <c r="V251" s="5">
        <f t="shared" si="40"/>
        <v>1.19</v>
      </c>
      <c r="W251" s="5">
        <f t="shared" si="40"/>
        <v>0.95</v>
      </c>
      <c r="X251" s="5">
        <f t="shared" si="40"/>
        <v>0.82</v>
      </c>
      <c r="Y251" s="5">
        <f t="shared" si="40"/>
        <v>0.69</v>
      </c>
      <c r="Z251" s="5">
        <f t="shared" si="40"/>
        <v>0.67</v>
      </c>
      <c r="AA251" s="5">
        <f t="shared" si="40"/>
        <v>0.62</v>
      </c>
      <c r="AB251" s="5">
        <f t="shared" si="40"/>
        <v>0.53</v>
      </c>
      <c r="AC251" s="5">
        <f t="shared" si="40"/>
        <v>0.46</v>
      </c>
      <c r="AD251" s="5">
        <f t="shared" si="40"/>
        <v>0.45</v>
      </c>
      <c r="AE251" s="5">
        <f t="shared" si="40"/>
        <v>0.4</v>
      </c>
      <c r="AF251" s="5">
        <f t="shared" si="40"/>
        <v>0.37</v>
      </c>
      <c r="AG251" s="5">
        <f t="shared" si="40"/>
        <v>0.35</v>
      </c>
      <c r="AH251" s="5">
        <f t="shared" si="37"/>
        <v>0.27</v>
      </c>
      <c r="AI251" s="5">
        <f t="shared" si="37"/>
        <v>0.22</v>
      </c>
      <c r="AJ251" s="5">
        <f t="shared" si="37"/>
        <v>0.2</v>
      </c>
    </row>
    <row r="252" spans="1:36">
      <c r="A252" t="str">
        <f>"casthouse_procurement_archetype_"&amp;TEXT(ROUND(Table21319[[#This Row],[2016]],1),"0.0")</f>
        <v>casthouse_procurement_archetype_5.3</v>
      </c>
      <c r="B252" s="5">
        <f t="shared" si="34"/>
        <v>5.3</v>
      </c>
      <c r="C252" s="5">
        <f t="shared" si="41"/>
        <v>5.3</v>
      </c>
      <c r="D252" s="5">
        <f t="shared" si="41"/>
        <v>5.3</v>
      </c>
      <c r="E252" s="5">
        <f t="shared" si="41"/>
        <v>5.17</v>
      </c>
      <c r="F252" s="5">
        <f t="shared" si="41"/>
        <v>4.87</v>
      </c>
      <c r="G252" s="5">
        <f t="shared" si="41"/>
        <v>4.91</v>
      </c>
      <c r="H252" s="5">
        <f t="shared" si="41"/>
        <v>4.78</v>
      </c>
      <c r="I252" s="5">
        <f t="shared" si="41"/>
        <v>4.53</v>
      </c>
      <c r="J252" s="5">
        <f t="shared" si="41"/>
        <v>4.38</v>
      </c>
      <c r="K252" s="5">
        <f t="shared" si="41"/>
        <v>4.24</v>
      </c>
      <c r="L252" s="5">
        <f t="shared" si="41"/>
        <v>4.01</v>
      </c>
      <c r="M252" s="5">
        <f t="shared" si="41"/>
        <v>3.98</v>
      </c>
      <c r="N252" s="5">
        <f t="shared" si="41"/>
        <v>3.79</v>
      </c>
      <c r="O252" s="5">
        <f t="shared" si="41"/>
        <v>3.59</v>
      </c>
      <c r="P252" s="5">
        <f t="shared" si="41"/>
        <v>3.36</v>
      </c>
      <c r="Q252" s="5">
        <f t="shared" si="41"/>
        <v>2.9</v>
      </c>
      <c r="R252" s="5">
        <f t="shared" ref="R252:AG267" si="42">MROUND((($B252-$AJ$2)*((R$2-$AJ$2)/($B$2-$AJ$2)))+$AJ$2,0.01)</f>
        <v>2.29</v>
      </c>
      <c r="S252" s="5">
        <f t="shared" si="42"/>
        <v>2.1</v>
      </c>
      <c r="T252" s="5">
        <f t="shared" si="42"/>
        <v>1.68</v>
      </c>
      <c r="U252" s="5">
        <f t="shared" si="42"/>
        <v>1.25</v>
      </c>
      <c r="V252" s="5">
        <f t="shared" si="42"/>
        <v>1.17</v>
      </c>
      <c r="W252" s="5">
        <f t="shared" si="42"/>
        <v>0.93</v>
      </c>
      <c r="X252" s="5">
        <f t="shared" si="42"/>
        <v>0.81</v>
      </c>
      <c r="Y252" s="5">
        <f t="shared" si="42"/>
        <v>0.68</v>
      </c>
      <c r="Z252" s="5">
        <f t="shared" si="42"/>
        <v>0.66</v>
      </c>
      <c r="AA252" s="5">
        <f t="shared" si="42"/>
        <v>0.61</v>
      </c>
      <c r="AB252" s="5">
        <f t="shared" si="42"/>
        <v>0.52</v>
      </c>
      <c r="AC252" s="5">
        <f t="shared" si="42"/>
        <v>0.46</v>
      </c>
      <c r="AD252" s="5">
        <f t="shared" si="42"/>
        <v>0.44</v>
      </c>
      <c r="AE252" s="5">
        <f t="shared" si="42"/>
        <v>0.4</v>
      </c>
      <c r="AF252" s="5">
        <f t="shared" si="42"/>
        <v>0.37</v>
      </c>
      <c r="AG252" s="5">
        <f t="shared" si="42"/>
        <v>0.35</v>
      </c>
      <c r="AH252" s="5">
        <f t="shared" si="37"/>
        <v>0.27</v>
      </c>
      <c r="AI252" s="5">
        <f t="shared" si="37"/>
        <v>0.22</v>
      </c>
      <c r="AJ252" s="5">
        <f t="shared" si="37"/>
        <v>0.2</v>
      </c>
    </row>
    <row r="253" spans="1:36">
      <c r="A253" t="str">
        <f>"casthouse_procurement_archetype_"&amp;TEXT(ROUND(Table21319[[#This Row],[2016]],1),"0.0")</f>
        <v>casthouse_procurement_archetype_5.2</v>
      </c>
      <c r="B253" s="5">
        <f t="shared" si="34"/>
        <v>5.2</v>
      </c>
      <c r="C253" s="5">
        <f t="shared" ref="C253:R268" si="43">MROUND((($B253-$AJ$2)*((C$2-$AJ$2)/($B$2-$AJ$2)))+$AJ$2,0.01)</f>
        <v>5.2</v>
      </c>
      <c r="D253" s="5">
        <f t="shared" si="43"/>
        <v>5.2</v>
      </c>
      <c r="E253" s="5">
        <f t="shared" si="43"/>
        <v>5.08</v>
      </c>
      <c r="F253" s="5">
        <f t="shared" si="43"/>
        <v>4.78</v>
      </c>
      <c r="G253" s="5">
        <f t="shared" si="43"/>
        <v>4.82</v>
      </c>
      <c r="H253" s="5">
        <f t="shared" si="43"/>
        <v>4.69</v>
      </c>
      <c r="I253" s="5">
        <f t="shared" si="43"/>
        <v>4.44</v>
      </c>
      <c r="J253" s="5">
        <f t="shared" si="43"/>
        <v>4.3</v>
      </c>
      <c r="K253" s="5">
        <f t="shared" si="43"/>
        <v>4.16</v>
      </c>
      <c r="L253" s="5">
        <f t="shared" si="43"/>
        <v>3.93</v>
      </c>
      <c r="M253" s="5">
        <f t="shared" si="43"/>
        <v>3.9</v>
      </c>
      <c r="N253" s="5">
        <f t="shared" si="43"/>
        <v>3.72</v>
      </c>
      <c r="O253" s="5">
        <f t="shared" si="43"/>
        <v>3.52</v>
      </c>
      <c r="P253" s="5">
        <f t="shared" si="43"/>
        <v>3.3</v>
      </c>
      <c r="Q253" s="5">
        <f t="shared" si="43"/>
        <v>2.85</v>
      </c>
      <c r="R253" s="5">
        <f t="shared" si="43"/>
        <v>2.25</v>
      </c>
      <c r="S253" s="5">
        <f t="shared" si="42"/>
        <v>2.06</v>
      </c>
      <c r="T253" s="5">
        <f t="shared" si="42"/>
        <v>1.65</v>
      </c>
      <c r="U253" s="5">
        <f t="shared" si="42"/>
        <v>1.23</v>
      </c>
      <c r="V253" s="5">
        <f t="shared" si="42"/>
        <v>1.15</v>
      </c>
      <c r="W253" s="5">
        <f t="shared" si="42"/>
        <v>0.92</v>
      </c>
      <c r="X253" s="5">
        <f t="shared" si="42"/>
        <v>0.8</v>
      </c>
      <c r="Y253" s="5">
        <f t="shared" si="42"/>
        <v>0.68</v>
      </c>
      <c r="Z253" s="5">
        <f t="shared" si="42"/>
        <v>0.66</v>
      </c>
      <c r="AA253" s="5">
        <f t="shared" si="42"/>
        <v>0.6</v>
      </c>
      <c r="AB253" s="5">
        <f t="shared" si="42"/>
        <v>0.52</v>
      </c>
      <c r="AC253" s="5">
        <f t="shared" si="42"/>
        <v>0.45</v>
      </c>
      <c r="AD253" s="5">
        <f t="shared" si="42"/>
        <v>0.44</v>
      </c>
      <c r="AE253" s="5">
        <f t="shared" si="42"/>
        <v>0.39</v>
      </c>
      <c r="AF253" s="5">
        <f t="shared" si="42"/>
        <v>0.37</v>
      </c>
      <c r="AG253" s="5">
        <f t="shared" si="42"/>
        <v>0.34</v>
      </c>
      <c r="AH253" s="5">
        <f t="shared" si="37"/>
        <v>0.27</v>
      </c>
      <c r="AI253" s="5">
        <f t="shared" si="37"/>
        <v>0.22</v>
      </c>
      <c r="AJ253" s="5">
        <f t="shared" si="37"/>
        <v>0.2</v>
      </c>
    </row>
    <row r="254" spans="1:36">
      <c r="A254" t="str">
        <f>"casthouse_procurement_archetype_"&amp;TEXT(ROUND(Table21319[[#This Row],[2016]],1),"0.0")</f>
        <v>casthouse_procurement_archetype_5.1</v>
      </c>
      <c r="B254" s="5">
        <f t="shared" si="34"/>
        <v>5.1</v>
      </c>
      <c r="C254" s="5">
        <f t="shared" si="43"/>
        <v>5.1</v>
      </c>
      <c r="D254" s="5">
        <f t="shared" si="43"/>
        <v>5.1</v>
      </c>
      <c r="E254" s="5">
        <f t="shared" si="43"/>
        <v>4.98</v>
      </c>
      <c r="F254" s="5">
        <f t="shared" si="43"/>
        <v>4.69</v>
      </c>
      <c r="G254" s="5">
        <f t="shared" si="43"/>
        <v>4.73</v>
      </c>
      <c r="H254" s="5">
        <f t="shared" si="43"/>
        <v>4.6</v>
      </c>
      <c r="I254" s="5">
        <f t="shared" si="43"/>
        <v>4.36</v>
      </c>
      <c r="J254" s="5">
        <f t="shared" si="43"/>
        <v>4.22</v>
      </c>
      <c r="K254" s="5">
        <f t="shared" si="43"/>
        <v>4.08</v>
      </c>
      <c r="L254" s="5">
        <f t="shared" si="43"/>
        <v>3.86</v>
      </c>
      <c r="M254" s="5">
        <f t="shared" si="43"/>
        <v>3.83</v>
      </c>
      <c r="N254" s="5">
        <f t="shared" si="43"/>
        <v>3.65</v>
      </c>
      <c r="O254" s="5">
        <f t="shared" si="43"/>
        <v>3.46</v>
      </c>
      <c r="P254" s="5">
        <f t="shared" si="43"/>
        <v>3.23</v>
      </c>
      <c r="Q254" s="5">
        <f t="shared" si="43"/>
        <v>2.8</v>
      </c>
      <c r="R254" s="5">
        <f t="shared" si="43"/>
        <v>2.21</v>
      </c>
      <c r="S254" s="5">
        <f t="shared" si="42"/>
        <v>2.02</v>
      </c>
      <c r="T254" s="5">
        <f t="shared" si="42"/>
        <v>1.62</v>
      </c>
      <c r="U254" s="5">
        <f t="shared" si="42"/>
        <v>1.21</v>
      </c>
      <c r="V254" s="5">
        <f t="shared" si="42"/>
        <v>1.13</v>
      </c>
      <c r="W254" s="5">
        <f t="shared" si="42"/>
        <v>0.9</v>
      </c>
      <c r="X254" s="5">
        <f t="shared" si="42"/>
        <v>0.79</v>
      </c>
      <c r="Y254" s="5">
        <f t="shared" si="42"/>
        <v>0.67</v>
      </c>
      <c r="Z254" s="5">
        <f t="shared" si="42"/>
        <v>0.65</v>
      </c>
      <c r="AA254" s="5">
        <f t="shared" si="42"/>
        <v>0.59</v>
      </c>
      <c r="AB254" s="5">
        <f t="shared" si="42"/>
        <v>0.51</v>
      </c>
      <c r="AC254" s="5">
        <f t="shared" si="42"/>
        <v>0.45</v>
      </c>
      <c r="AD254" s="5">
        <f t="shared" si="42"/>
        <v>0.43</v>
      </c>
      <c r="AE254" s="5">
        <f t="shared" si="42"/>
        <v>0.39</v>
      </c>
      <c r="AF254" s="5">
        <f t="shared" si="42"/>
        <v>0.36</v>
      </c>
      <c r="AG254" s="5">
        <f t="shared" si="42"/>
        <v>0.34</v>
      </c>
      <c r="AH254" s="5">
        <f t="shared" si="37"/>
        <v>0.26</v>
      </c>
      <c r="AI254" s="5">
        <f t="shared" si="37"/>
        <v>0.22</v>
      </c>
      <c r="AJ254" s="5">
        <f t="shared" si="37"/>
        <v>0.2</v>
      </c>
    </row>
    <row r="255" spans="1:36">
      <c r="A255" t="str">
        <f>"casthouse_procurement_archetype_"&amp;TEXT(ROUND(Table21319[[#This Row],[2016]],1),"0.0")</f>
        <v>casthouse_procurement_archetype_5.0</v>
      </c>
      <c r="B255" s="5">
        <f t="shared" si="34"/>
        <v>5</v>
      </c>
      <c r="C255" s="5">
        <f t="shared" si="43"/>
        <v>5</v>
      </c>
      <c r="D255" s="5">
        <f t="shared" si="43"/>
        <v>5</v>
      </c>
      <c r="E255" s="5">
        <f t="shared" si="43"/>
        <v>4.88</v>
      </c>
      <c r="F255" s="5">
        <f t="shared" si="43"/>
        <v>4.6</v>
      </c>
      <c r="G255" s="5">
        <f t="shared" si="43"/>
        <v>4.64</v>
      </c>
      <c r="H255" s="5">
        <f t="shared" si="43"/>
        <v>4.51</v>
      </c>
      <c r="I255" s="5">
        <f t="shared" si="43"/>
        <v>4.27</v>
      </c>
      <c r="J255" s="5">
        <f t="shared" si="43"/>
        <v>4.14</v>
      </c>
      <c r="K255" s="5">
        <f t="shared" si="43"/>
        <v>4</v>
      </c>
      <c r="L255" s="5">
        <f t="shared" si="43"/>
        <v>3.78</v>
      </c>
      <c r="M255" s="5">
        <f t="shared" si="43"/>
        <v>3.76</v>
      </c>
      <c r="N255" s="5">
        <f t="shared" si="43"/>
        <v>3.58</v>
      </c>
      <c r="O255" s="5">
        <f t="shared" si="43"/>
        <v>3.39</v>
      </c>
      <c r="P255" s="5">
        <f t="shared" si="43"/>
        <v>3.17</v>
      </c>
      <c r="Q255" s="5">
        <f t="shared" si="43"/>
        <v>2.75</v>
      </c>
      <c r="R255" s="5">
        <f t="shared" si="43"/>
        <v>2.17</v>
      </c>
      <c r="S255" s="5">
        <f t="shared" si="42"/>
        <v>1.99</v>
      </c>
      <c r="T255" s="5">
        <f t="shared" si="42"/>
        <v>1.59</v>
      </c>
      <c r="U255" s="5">
        <f t="shared" si="42"/>
        <v>1.19</v>
      </c>
      <c r="V255" s="5">
        <f t="shared" si="42"/>
        <v>1.11</v>
      </c>
      <c r="W255" s="5">
        <f t="shared" si="42"/>
        <v>0.89</v>
      </c>
      <c r="X255" s="5">
        <f t="shared" si="42"/>
        <v>0.77</v>
      </c>
      <c r="Y255" s="5">
        <f t="shared" si="42"/>
        <v>0.66</v>
      </c>
      <c r="Z255" s="5">
        <f t="shared" si="42"/>
        <v>0.64</v>
      </c>
      <c r="AA255" s="5">
        <f t="shared" si="42"/>
        <v>0.58</v>
      </c>
      <c r="AB255" s="5">
        <f t="shared" si="42"/>
        <v>0.5</v>
      </c>
      <c r="AC255" s="5">
        <f t="shared" si="42"/>
        <v>0.44</v>
      </c>
      <c r="AD255" s="5">
        <f t="shared" si="42"/>
        <v>0.43</v>
      </c>
      <c r="AE255" s="5">
        <f t="shared" si="42"/>
        <v>0.39</v>
      </c>
      <c r="AF255" s="5">
        <f t="shared" si="42"/>
        <v>0.36</v>
      </c>
      <c r="AG255" s="5">
        <f t="shared" si="42"/>
        <v>0.34</v>
      </c>
      <c r="AH255" s="5">
        <f t="shared" si="37"/>
        <v>0.26</v>
      </c>
      <c r="AI255" s="5">
        <f t="shared" si="37"/>
        <v>0.22</v>
      </c>
      <c r="AJ255" s="5">
        <f t="shared" si="37"/>
        <v>0.2</v>
      </c>
    </row>
    <row r="256" spans="1:36">
      <c r="A256" t="str">
        <f>"casthouse_procurement_archetype_"&amp;TEXT(ROUND(Table21319[[#This Row],[2016]],1),"0.0")</f>
        <v>casthouse_procurement_archetype_4.9</v>
      </c>
      <c r="B256" s="5">
        <f t="shared" si="34"/>
        <v>4.9</v>
      </c>
      <c r="C256" s="5">
        <f t="shared" si="43"/>
        <v>4.9</v>
      </c>
      <c r="D256" s="5">
        <f t="shared" si="43"/>
        <v>4.9</v>
      </c>
      <c r="E256" s="5">
        <f t="shared" si="43"/>
        <v>4.78</v>
      </c>
      <c r="F256" s="5">
        <f t="shared" si="43"/>
        <v>4.5</v>
      </c>
      <c r="G256" s="5">
        <f t="shared" si="43"/>
        <v>4.54</v>
      </c>
      <c r="H256" s="5">
        <f t="shared" si="43"/>
        <v>4.42</v>
      </c>
      <c r="I256" s="5">
        <f t="shared" si="43"/>
        <v>4.19</v>
      </c>
      <c r="J256" s="5">
        <f t="shared" si="43"/>
        <v>4.06</v>
      </c>
      <c r="K256" s="5">
        <f t="shared" si="43"/>
        <v>3.92</v>
      </c>
      <c r="L256" s="5">
        <f t="shared" si="43"/>
        <v>3.71</v>
      </c>
      <c r="M256" s="5">
        <f t="shared" si="43"/>
        <v>3.68</v>
      </c>
      <c r="N256" s="5">
        <f t="shared" si="43"/>
        <v>3.51</v>
      </c>
      <c r="O256" s="5">
        <f t="shared" si="43"/>
        <v>3.32</v>
      </c>
      <c r="P256" s="5">
        <f t="shared" si="43"/>
        <v>3.11</v>
      </c>
      <c r="Q256" s="5">
        <f t="shared" si="43"/>
        <v>2.69</v>
      </c>
      <c r="R256" s="5">
        <f t="shared" si="43"/>
        <v>2.13</v>
      </c>
      <c r="S256" s="5">
        <f t="shared" si="42"/>
        <v>1.95</v>
      </c>
      <c r="T256" s="5">
        <f t="shared" si="42"/>
        <v>1.56</v>
      </c>
      <c r="U256" s="5">
        <f t="shared" si="42"/>
        <v>1.17</v>
      </c>
      <c r="V256" s="5">
        <f t="shared" si="42"/>
        <v>1.09</v>
      </c>
      <c r="W256" s="5">
        <f t="shared" si="42"/>
        <v>0.87</v>
      </c>
      <c r="X256" s="5">
        <f t="shared" si="42"/>
        <v>0.76</v>
      </c>
      <c r="Y256" s="5">
        <f t="shared" si="42"/>
        <v>0.65</v>
      </c>
      <c r="Z256" s="5">
        <f t="shared" si="42"/>
        <v>0.63</v>
      </c>
      <c r="AA256" s="5">
        <f t="shared" si="42"/>
        <v>0.58</v>
      </c>
      <c r="AB256" s="5">
        <f t="shared" si="42"/>
        <v>0.5</v>
      </c>
      <c r="AC256" s="5">
        <f t="shared" si="42"/>
        <v>0.44</v>
      </c>
      <c r="AD256" s="5">
        <f t="shared" si="42"/>
        <v>0.42</v>
      </c>
      <c r="AE256" s="5">
        <f t="shared" si="42"/>
        <v>0.38</v>
      </c>
      <c r="AF256" s="5">
        <f t="shared" si="42"/>
        <v>0.36</v>
      </c>
      <c r="AG256" s="5">
        <f t="shared" si="42"/>
        <v>0.34</v>
      </c>
      <c r="AH256" s="5">
        <f t="shared" si="37"/>
        <v>0.26</v>
      </c>
      <c r="AI256" s="5">
        <f t="shared" si="37"/>
        <v>0.22</v>
      </c>
      <c r="AJ256" s="5">
        <f t="shared" si="37"/>
        <v>0.2</v>
      </c>
    </row>
    <row r="257" spans="1:36">
      <c r="A257" t="str">
        <f>"casthouse_procurement_archetype_"&amp;TEXT(ROUND(Table21319[[#This Row],[2016]],1),"0.0")</f>
        <v>casthouse_procurement_archetype_4.8</v>
      </c>
      <c r="B257" s="5">
        <f t="shared" si="34"/>
        <v>4.8</v>
      </c>
      <c r="C257" s="5">
        <f t="shared" si="43"/>
        <v>4.8</v>
      </c>
      <c r="D257" s="5">
        <f t="shared" si="43"/>
        <v>4.8</v>
      </c>
      <c r="E257" s="5">
        <f t="shared" si="43"/>
        <v>4.69</v>
      </c>
      <c r="F257" s="5">
        <f t="shared" si="43"/>
        <v>4.41</v>
      </c>
      <c r="G257" s="5">
        <f t="shared" si="43"/>
        <v>4.45</v>
      </c>
      <c r="H257" s="5">
        <f t="shared" si="43"/>
        <v>4.33</v>
      </c>
      <c r="I257" s="5">
        <f t="shared" si="43"/>
        <v>4.1</v>
      </c>
      <c r="J257" s="5">
        <f t="shared" si="43"/>
        <v>3.97</v>
      </c>
      <c r="K257" s="5">
        <f t="shared" si="43"/>
        <v>3.84</v>
      </c>
      <c r="L257" s="5">
        <f t="shared" si="43"/>
        <v>3.63</v>
      </c>
      <c r="M257" s="5">
        <f t="shared" si="43"/>
        <v>3.61</v>
      </c>
      <c r="N257" s="5">
        <f t="shared" si="43"/>
        <v>3.44</v>
      </c>
      <c r="O257" s="5">
        <f t="shared" si="43"/>
        <v>3.26</v>
      </c>
      <c r="P257" s="5">
        <f t="shared" si="43"/>
        <v>3.05</v>
      </c>
      <c r="Q257" s="5">
        <f t="shared" si="43"/>
        <v>2.64</v>
      </c>
      <c r="R257" s="5">
        <f t="shared" si="43"/>
        <v>2.09</v>
      </c>
      <c r="S257" s="5">
        <f t="shared" si="42"/>
        <v>1.91</v>
      </c>
      <c r="T257" s="5">
        <f t="shared" si="42"/>
        <v>1.53</v>
      </c>
      <c r="U257" s="5">
        <f t="shared" si="42"/>
        <v>1.15</v>
      </c>
      <c r="V257" s="5">
        <f t="shared" si="42"/>
        <v>1.07</v>
      </c>
      <c r="W257" s="5">
        <f t="shared" si="42"/>
        <v>0.86</v>
      </c>
      <c r="X257" s="5">
        <f t="shared" si="42"/>
        <v>0.75</v>
      </c>
      <c r="Y257" s="5">
        <f t="shared" si="42"/>
        <v>0.64</v>
      </c>
      <c r="Z257" s="5">
        <f t="shared" si="42"/>
        <v>0.62</v>
      </c>
      <c r="AA257" s="5">
        <f t="shared" si="42"/>
        <v>0.57</v>
      </c>
      <c r="AB257" s="5">
        <f t="shared" si="42"/>
        <v>0.49</v>
      </c>
      <c r="AC257" s="5">
        <f t="shared" si="42"/>
        <v>0.43</v>
      </c>
      <c r="AD257" s="5">
        <f t="shared" si="42"/>
        <v>0.42</v>
      </c>
      <c r="AE257" s="5">
        <f t="shared" si="42"/>
        <v>0.38</v>
      </c>
      <c r="AF257" s="5">
        <f t="shared" si="42"/>
        <v>0.35</v>
      </c>
      <c r="AG257" s="5">
        <f t="shared" si="42"/>
        <v>0.33</v>
      </c>
      <c r="AH257" s="5">
        <f t="shared" si="37"/>
        <v>0.26</v>
      </c>
      <c r="AI257" s="5">
        <f t="shared" si="37"/>
        <v>0.22</v>
      </c>
      <c r="AJ257" s="5">
        <f t="shared" si="37"/>
        <v>0.2</v>
      </c>
    </row>
    <row r="258" spans="1:36">
      <c r="A258" t="str">
        <f>"casthouse_procurement_archetype_"&amp;TEXT(ROUND(Table21319[[#This Row],[2016]],1),"0.0")</f>
        <v>casthouse_procurement_archetype_4.7</v>
      </c>
      <c r="B258" s="5">
        <f t="shared" si="34"/>
        <v>4.7</v>
      </c>
      <c r="C258" s="5">
        <f t="shared" si="43"/>
        <v>4.7</v>
      </c>
      <c r="D258" s="5">
        <f t="shared" si="43"/>
        <v>4.7</v>
      </c>
      <c r="E258" s="5">
        <f t="shared" si="43"/>
        <v>4.59</v>
      </c>
      <c r="F258" s="5">
        <f t="shared" si="43"/>
        <v>4.32</v>
      </c>
      <c r="G258" s="5">
        <f t="shared" si="43"/>
        <v>4.36</v>
      </c>
      <c r="H258" s="5">
        <f t="shared" si="43"/>
        <v>4.24</v>
      </c>
      <c r="I258" s="5">
        <f t="shared" si="43"/>
        <v>4.02</v>
      </c>
      <c r="J258" s="5">
        <f t="shared" si="43"/>
        <v>3.89</v>
      </c>
      <c r="K258" s="5">
        <f t="shared" si="43"/>
        <v>3.76</v>
      </c>
      <c r="L258" s="5">
        <f t="shared" si="43"/>
        <v>3.56</v>
      </c>
      <c r="M258" s="5">
        <f t="shared" si="43"/>
        <v>3.53</v>
      </c>
      <c r="N258" s="5">
        <f t="shared" si="43"/>
        <v>3.37</v>
      </c>
      <c r="O258" s="5">
        <f t="shared" si="43"/>
        <v>3.19</v>
      </c>
      <c r="P258" s="5">
        <f t="shared" si="43"/>
        <v>2.99</v>
      </c>
      <c r="Q258" s="5">
        <f t="shared" si="43"/>
        <v>2.59</v>
      </c>
      <c r="R258" s="5">
        <f t="shared" si="43"/>
        <v>2.05</v>
      </c>
      <c r="S258" s="5">
        <f t="shared" si="42"/>
        <v>1.88</v>
      </c>
      <c r="T258" s="5">
        <f t="shared" si="42"/>
        <v>1.5</v>
      </c>
      <c r="U258" s="5">
        <f t="shared" si="42"/>
        <v>1.13</v>
      </c>
      <c r="V258" s="5">
        <f t="shared" si="42"/>
        <v>1.06</v>
      </c>
      <c r="W258" s="5">
        <f t="shared" si="42"/>
        <v>0.85</v>
      </c>
      <c r="X258" s="5">
        <f t="shared" si="42"/>
        <v>0.74</v>
      </c>
      <c r="Y258" s="5">
        <f t="shared" si="42"/>
        <v>0.63</v>
      </c>
      <c r="Z258" s="5">
        <f t="shared" si="42"/>
        <v>0.61</v>
      </c>
      <c r="AA258" s="5">
        <f t="shared" si="42"/>
        <v>0.56</v>
      </c>
      <c r="AB258" s="5">
        <f t="shared" si="42"/>
        <v>0.49</v>
      </c>
      <c r="AC258" s="5">
        <f t="shared" si="42"/>
        <v>0.43</v>
      </c>
      <c r="AD258" s="5">
        <f t="shared" si="42"/>
        <v>0.42</v>
      </c>
      <c r="AE258" s="5">
        <f t="shared" si="42"/>
        <v>0.37</v>
      </c>
      <c r="AF258" s="5">
        <f t="shared" si="42"/>
        <v>0.35</v>
      </c>
      <c r="AG258" s="5">
        <f t="shared" si="42"/>
        <v>0.33</v>
      </c>
      <c r="AH258" s="5">
        <f t="shared" si="37"/>
        <v>0.26</v>
      </c>
      <c r="AI258" s="5">
        <f t="shared" si="37"/>
        <v>0.22</v>
      </c>
      <c r="AJ258" s="5">
        <f t="shared" si="37"/>
        <v>0.2</v>
      </c>
    </row>
    <row r="259" spans="1:36">
      <c r="A259" t="str">
        <f>"casthouse_procurement_archetype_"&amp;TEXT(ROUND(Table21319[[#This Row],[2016]],1),"0.0")</f>
        <v>casthouse_procurement_archetype_4.6</v>
      </c>
      <c r="B259" s="5">
        <f t="shared" si="34"/>
        <v>4.6</v>
      </c>
      <c r="C259" s="5">
        <f t="shared" si="43"/>
        <v>4.6</v>
      </c>
      <c r="D259" s="5">
        <f t="shared" si="43"/>
        <v>4.6</v>
      </c>
      <c r="E259" s="5">
        <f t="shared" si="43"/>
        <v>4.49</v>
      </c>
      <c r="F259" s="5">
        <f t="shared" si="43"/>
        <v>4.23</v>
      </c>
      <c r="G259" s="5">
        <f t="shared" si="43"/>
        <v>4.27</v>
      </c>
      <c r="H259" s="5">
        <f t="shared" si="43"/>
        <v>4.15</v>
      </c>
      <c r="I259" s="5">
        <f t="shared" si="43"/>
        <v>3.93</v>
      </c>
      <c r="J259" s="5">
        <f t="shared" si="43"/>
        <v>3.81</v>
      </c>
      <c r="K259" s="5">
        <f t="shared" si="43"/>
        <v>3.68</v>
      </c>
      <c r="L259" s="5">
        <f t="shared" si="43"/>
        <v>3.48</v>
      </c>
      <c r="M259" s="5">
        <f t="shared" si="43"/>
        <v>3.46</v>
      </c>
      <c r="N259" s="5">
        <f t="shared" si="43"/>
        <v>3.3</v>
      </c>
      <c r="O259" s="5">
        <f t="shared" si="43"/>
        <v>3.13</v>
      </c>
      <c r="P259" s="5">
        <f t="shared" si="43"/>
        <v>2.92</v>
      </c>
      <c r="Q259" s="5">
        <f t="shared" si="43"/>
        <v>2.53</v>
      </c>
      <c r="R259" s="5">
        <f t="shared" si="43"/>
        <v>2.01</v>
      </c>
      <c r="S259" s="5">
        <f t="shared" si="42"/>
        <v>1.84</v>
      </c>
      <c r="T259" s="5">
        <f t="shared" si="42"/>
        <v>1.47</v>
      </c>
      <c r="U259" s="5">
        <f t="shared" si="42"/>
        <v>1.1</v>
      </c>
      <c r="V259" s="5">
        <f t="shared" si="42"/>
        <v>1.04</v>
      </c>
      <c r="W259" s="5">
        <f t="shared" si="42"/>
        <v>0.83</v>
      </c>
      <c r="X259" s="5">
        <f t="shared" si="42"/>
        <v>0.73</v>
      </c>
      <c r="Y259" s="5">
        <f t="shared" si="42"/>
        <v>0.62</v>
      </c>
      <c r="Z259" s="5">
        <f t="shared" si="42"/>
        <v>0.6</v>
      </c>
      <c r="AA259" s="5">
        <f t="shared" si="42"/>
        <v>0.55</v>
      </c>
      <c r="AB259" s="5">
        <f t="shared" si="42"/>
        <v>0.48</v>
      </c>
      <c r="AC259" s="5">
        <f t="shared" si="42"/>
        <v>0.42</v>
      </c>
      <c r="AD259" s="5">
        <f t="shared" si="42"/>
        <v>0.41</v>
      </c>
      <c r="AE259" s="5">
        <f t="shared" si="42"/>
        <v>0.37</v>
      </c>
      <c r="AF259" s="5">
        <f t="shared" si="42"/>
        <v>0.35</v>
      </c>
      <c r="AG259" s="5">
        <f t="shared" si="42"/>
        <v>0.33</v>
      </c>
      <c r="AH259" s="5">
        <f t="shared" si="37"/>
        <v>0.26</v>
      </c>
      <c r="AI259" s="5">
        <f t="shared" si="37"/>
        <v>0.22</v>
      </c>
      <c r="AJ259" s="5">
        <f t="shared" si="37"/>
        <v>0.2</v>
      </c>
    </row>
    <row r="260" spans="1:36">
      <c r="A260" t="str">
        <f>"casthouse_procurement_archetype_"&amp;TEXT(ROUND(Table21319[[#This Row],[2016]],1),"0.0")</f>
        <v>casthouse_procurement_archetype_4.5</v>
      </c>
      <c r="B260" s="5">
        <f t="shared" si="34"/>
        <v>4.5</v>
      </c>
      <c r="C260" s="5">
        <f t="shared" si="43"/>
        <v>4.5</v>
      </c>
      <c r="D260" s="5">
        <f t="shared" si="43"/>
        <v>4.5</v>
      </c>
      <c r="E260" s="5">
        <f t="shared" si="43"/>
        <v>4.39</v>
      </c>
      <c r="F260" s="5">
        <f t="shared" si="43"/>
        <v>4.14</v>
      </c>
      <c r="G260" s="5">
        <f t="shared" si="43"/>
        <v>4.17</v>
      </c>
      <c r="H260" s="5">
        <f t="shared" si="43"/>
        <v>4.06</v>
      </c>
      <c r="I260" s="5">
        <f t="shared" si="43"/>
        <v>3.85</v>
      </c>
      <c r="J260" s="5">
        <f t="shared" si="43"/>
        <v>3.73</v>
      </c>
      <c r="K260" s="5">
        <f t="shared" si="43"/>
        <v>3.6</v>
      </c>
      <c r="L260" s="5">
        <f t="shared" si="43"/>
        <v>3.41</v>
      </c>
      <c r="M260" s="5">
        <f t="shared" si="43"/>
        <v>3.38</v>
      </c>
      <c r="N260" s="5">
        <f t="shared" si="43"/>
        <v>3.22</v>
      </c>
      <c r="O260" s="5">
        <f t="shared" si="43"/>
        <v>3.06</v>
      </c>
      <c r="P260" s="5">
        <f t="shared" si="43"/>
        <v>2.86</v>
      </c>
      <c r="Q260" s="5">
        <f t="shared" si="43"/>
        <v>2.48</v>
      </c>
      <c r="R260" s="5">
        <f t="shared" si="43"/>
        <v>1.97</v>
      </c>
      <c r="S260" s="5">
        <f t="shared" si="42"/>
        <v>1.8</v>
      </c>
      <c r="T260" s="5">
        <f t="shared" si="42"/>
        <v>1.44</v>
      </c>
      <c r="U260" s="5">
        <f t="shared" si="42"/>
        <v>1.08</v>
      </c>
      <c r="V260" s="5">
        <f t="shared" si="42"/>
        <v>1.02</v>
      </c>
      <c r="W260" s="5">
        <f t="shared" si="42"/>
        <v>0.82</v>
      </c>
      <c r="X260" s="5">
        <f t="shared" si="42"/>
        <v>0.71</v>
      </c>
      <c r="Y260" s="5">
        <f t="shared" si="42"/>
        <v>0.61</v>
      </c>
      <c r="Z260" s="5">
        <f t="shared" si="42"/>
        <v>0.59</v>
      </c>
      <c r="AA260" s="5">
        <f t="shared" si="42"/>
        <v>0.54</v>
      </c>
      <c r="AB260" s="5">
        <f t="shared" si="42"/>
        <v>0.47</v>
      </c>
      <c r="AC260" s="5">
        <f t="shared" si="42"/>
        <v>0.42</v>
      </c>
      <c r="AD260" s="5">
        <f t="shared" si="42"/>
        <v>0.41</v>
      </c>
      <c r="AE260" s="5">
        <f t="shared" si="42"/>
        <v>0.37</v>
      </c>
      <c r="AF260" s="5">
        <f t="shared" si="42"/>
        <v>0.34</v>
      </c>
      <c r="AG260" s="5">
        <f t="shared" si="42"/>
        <v>0.32</v>
      </c>
      <c r="AH260" s="5">
        <f t="shared" si="37"/>
        <v>0.26</v>
      </c>
      <c r="AI260" s="5">
        <f t="shared" si="37"/>
        <v>0.22</v>
      </c>
      <c r="AJ260" s="5">
        <f t="shared" si="37"/>
        <v>0.2</v>
      </c>
    </row>
    <row r="261" spans="1:36">
      <c r="A261" t="str">
        <f>"casthouse_procurement_archetype_"&amp;TEXT(ROUND(Table21319[[#This Row],[2016]],1),"0.0")</f>
        <v>casthouse_procurement_archetype_4.4</v>
      </c>
      <c r="B261" s="5">
        <f t="shared" si="34"/>
        <v>4.4</v>
      </c>
      <c r="C261" s="5">
        <f t="shared" si="43"/>
        <v>4.4</v>
      </c>
      <c r="D261" s="5">
        <f t="shared" si="43"/>
        <v>4.4</v>
      </c>
      <c r="E261" s="5">
        <f t="shared" si="43"/>
        <v>4.3</v>
      </c>
      <c r="F261" s="5">
        <f t="shared" si="43"/>
        <v>4.05</v>
      </c>
      <c r="G261" s="5">
        <f t="shared" si="43"/>
        <v>4.08</v>
      </c>
      <c r="H261" s="5">
        <f t="shared" si="43"/>
        <v>3.97</v>
      </c>
      <c r="I261" s="5">
        <f t="shared" si="43"/>
        <v>3.76</v>
      </c>
      <c r="J261" s="5">
        <f t="shared" si="43"/>
        <v>3.65</v>
      </c>
      <c r="K261" s="5">
        <f t="shared" si="43"/>
        <v>3.53</v>
      </c>
      <c r="L261" s="5">
        <f t="shared" si="43"/>
        <v>3.33</v>
      </c>
      <c r="M261" s="5">
        <f t="shared" si="43"/>
        <v>3.31</v>
      </c>
      <c r="N261" s="5">
        <f t="shared" si="43"/>
        <v>3.15</v>
      </c>
      <c r="O261" s="5">
        <f t="shared" si="43"/>
        <v>2.99</v>
      </c>
      <c r="P261" s="5">
        <f t="shared" si="43"/>
        <v>2.8</v>
      </c>
      <c r="Q261" s="5">
        <f t="shared" si="43"/>
        <v>2.43</v>
      </c>
      <c r="R261" s="5">
        <f t="shared" si="43"/>
        <v>1.92</v>
      </c>
      <c r="S261" s="5">
        <f t="shared" si="42"/>
        <v>1.76</v>
      </c>
      <c r="T261" s="5">
        <f t="shared" si="42"/>
        <v>1.42</v>
      </c>
      <c r="U261" s="5">
        <f t="shared" si="42"/>
        <v>1.06</v>
      </c>
      <c r="V261" s="5">
        <f t="shared" si="42"/>
        <v>1</v>
      </c>
      <c r="W261" s="5">
        <f t="shared" si="42"/>
        <v>0.8</v>
      </c>
      <c r="X261" s="5">
        <f t="shared" si="42"/>
        <v>0.7</v>
      </c>
      <c r="Y261" s="5">
        <f t="shared" si="42"/>
        <v>0.6</v>
      </c>
      <c r="Z261" s="5">
        <f t="shared" si="42"/>
        <v>0.58</v>
      </c>
      <c r="AA261" s="5">
        <f t="shared" si="42"/>
        <v>0.54</v>
      </c>
      <c r="AB261" s="5">
        <f t="shared" si="42"/>
        <v>0.47</v>
      </c>
      <c r="AC261" s="5">
        <f t="shared" si="42"/>
        <v>0.41</v>
      </c>
      <c r="AD261" s="5">
        <f t="shared" si="42"/>
        <v>0.4</v>
      </c>
      <c r="AE261" s="5">
        <f t="shared" si="42"/>
        <v>0.36</v>
      </c>
      <c r="AF261" s="5">
        <f t="shared" si="42"/>
        <v>0.34</v>
      </c>
      <c r="AG261" s="5">
        <f t="shared" si="42"/>
        <v>0.32</v>
      </c>
      <c r="AH261" s="5">
        <f t="shared" si="37"/>
        <v>0.26</v>
      </c>
      <c r="AI261" s="5">
        <f t="shared" si="37"/>
        <v>0.22</v>
      </c>
      <c r="AJ261" s="5">
        <f t="shared" si="37"/>
        <v>0.2</v>
      </c>
    </row>
    <row r="262" spans="1:36">
      <c r="A262" t="str">
        <f>"casthouse_procurement_archetype_"&amp;TEXT(ROUND(Table21319[[#This Row],[2016]],1),"0.0")</f>
        <v>casthouse_procurement_archetype_4.3</v>
      </c>
      <c r="B262" s="5">
        <f t="shared" si="34"/>
        <v>4.3</v>
      </c>
      <c r="C262" s="5">
        <f t="shared" si="43"/>
        <v>4.3</v>
      </c>
      <c r="D262" s="5">
        <f t="shared" si="43"/>
        <v>4.3</v>
      </c>
      <c r="E262" s="5">
        <f t="shared" si="43"/>
        <v>4.2</v>
      </c>
      <c r="F262" s="5">
        <f t="shared" si="43"/>
        <v>3.96</v>
      </c>
      <c r="G262" s="5">
        <f t="shared" si="43"/>
        <v>3.99</v>
      </c>
      <c r="H262" s="5">
        <f t="shared" si="43"/>
        <v>3.88</v>
      </c>
      <c r="I262" s="5">
        <f t="shared" si="43"/>
        <v>3.68</v>
      </c>
      <c r="J262" s="5">
        <f t="shared" si="43"/>
        <v>3.56</v>
      </c>
      <c r="K262" s="5">
        <f t="shared" si="43"/>
        <v>3.45</v>
      </c>
      <c r="L262" s="5">
        <f t="shared" si="43"/>
        <v>3.26</v>
      </c>
      <c r="M262" s="5">
        <f t="shared" si="43"/>
        <v>3.24</v>
      </c>
      <c r="N262" s="5">
        <f t="shared" si="43"/>
        <v>3.08</v>
      </c>
      <c r="O262" s="5">
        <f t="shared" si="43"/>
        <v>2.93</v>
      </c>
      <c r="P262" s="5">
        <f t="shared" si="43"/>
        <v>2.74</v>
      </c>
      <c r="Q262" s="5">
        <f t="shared" si="43"/>
        <v>2.37</v>
      </c>
      <c r="R262" s="5">
        <f t="shared" si="43"/>
        <v>1.88</v>
      </c>
      <c r="S262" s="5">
        <f t="shared" si="42"/>
        <v>1.73</v>
      </c>
      <c r="T262" s="5">
        <f t="shared" si="42"/>
        <v>1.39</v>
      </c>
      <c r="U262" s="5">
        <f t="shared" si="42"/>
        <v>1.04</v>
      </c>
      <c r="V262" s="5">
        <f t="shared" si="42"/>
        <v>0.98</v>
      </c>
      <c r="W262" s="5">
        <f t="shared" si="42"/>
        <v>0.79</v>
      </c>
      <c r="X262" s="5">
        <f t="shared" si="42"/>
        <v>0.69</v>
      </c>
      <c r="Y262" s="5">
        <f t="shared" si="42"/>
        <v>0.59</v>
      </c>
      <c r="Z262" s="5">
        <f t="shared" si="42"/>
        <v>0.57</v>
      </c>
      <c r="AA262" s="5">
        <f t="shared" si="42"/>
        <v>0.53</v>
      </c>
      <c r="AB262" s="5">
        <f t="shared" si="42"/>
        <v>0.46</v>
      </c>
      <c r="AC262" s="5">
        <f t="shared" si="42"/>
        <v>0.41</v>
      </c>
      <c r="AD262" s="5">
        <f t="shared" si="42"/>
        <v>0.4</v>
      </c>
      <c r="AE262" s="5">
        <f t="shared" si="42"/>
        <v>0.36</v>
      </c>
      <c r="AF262" s="5">
        <f t="shared" si="42"/>
        <v>0.34</v>
      </c>
      <c r="AG262" s="5">
        <f t="shared" si="42"/>
        <v>0.32</v>
      </c>
      <c r="AH262" s="5">
        <f t="shared" si="37"/>
        <v>0.25</v>
      </c>
      <c r="AI262" s="5">
        <f t="shared" si="37"/>
        <v>0.22</v>
      </c>
      <c r="AJ262" s="5">
        <f t="shared" si="37"/>
        <v>0.2</v>
      </c>
    </row>
    <row r="263" spans="1:36">
      <c r="A263" t="str">
        <f>"casthouse_procurement_archetype_"&amp;TEXT(ROUND(Table21319[[#This Row],[2016]],1),"0.0")</f>
        <v>casthouse_procurement_archetype_4.2</v>
      </c>
      <c r="B263" s="5">
        <f t="shared" ref="B263:B303" si="44">MROUND(B262-0.1,0.1)</f>
        <v>4.2</v>
      </c>
      <c r="C263" s="5">
        <f t="shared" si="43"/>
        <v>4.2</v>
      </c>
      <c r="D263" s="5">
        <f t="shared" si="43"/>
        <v>4.2</v>
      </c>
      <c r="E263" s="5">
        <f t="shared" si="43"/>
        <v>4.1</v>
      </c>
      <c r="F263" s="5">
        <f t="shared" si="43"/>
        <v>3.86</v>
      </c>
      <c r="G263" s="5">
        <f t="shared" si="43"/>
        <v>3.9</v>
      </c>
      <c r="H263" s="5">
        <f t="shared" si="43"/>
        <v>3.79</v>
      </c>
      <c r="I263" s="5">
        <f t="shared" si="43"/>
        <v>3.59</v>
      </c>
      <c r="J263" s="5">
        <f t="shared" si="43"/>
        <v>3.48</v>
      </c>
      <c r="K263" s="5">
        <f t="shared" si="43"/>
        <v>3.37</v>
      </c>
      <c r="L263" s="5">
        <f t="shared" si="43"/>
        <v>3.18</v>
      </c>
      <c r="M263" s="5">
        <f t="shared" si="43"/>
        <v>3.16</v>
      </c>
      <c r="N263" s="5">
        <f t="shared" si="43"/>
        <v>3.01</v>
      </c>
      <c r="O263" s="5">
        <f t="shared" si="43"/>
        <v>2.86</v>
      </c>
      <c r="P263" s="5">
        <f t="shared" si="43"/>
        <v>2.68</v>
      </c>
      <c r="Q263" s="5">
        <f t="shared" si="43"/>
        <v>2.32</v>
      </c>
      <c r="R263" s="5">
        <f t="shared" si="43"/>
        <v>1.84</v>
      </c>
      <c r="S263" s="5">
        <f t="shared" si="42"/>
        <v>1.69</v>
      </c>
      <c r="T263" s="5">
        <f t="shared" si="42"/>
        <v>1.36</v>
      </c>
      <c r="U263" s="5">
        <f t="shared" si="42"/>
        <v>1.02</v>
      </c>
      <c r="V263" s="5">
        <f t="shared" si="42"/>
        <v>0.96</v>
      </c>
      <c r="W263" s="5">
        <f t="shared" si="42"/>
        <v>0.77</v>
      </c>
      <c r="X263" s="5">
        <f t="shared" si="42"/>
        <v>0.68</v>
      </c>
      <c r="Y263" s="5">
        <f t="shared" si="42"/>
        <v>0.58</v>
      </c>
      <c r="Z263" s="5">
        <f t="shared" si="42"/>
        <v>0.56</v>
      </c>
      <c r="AA263" s="5">
        <f t="shared" si="42"/>
        <v>0.52</v>
      </c>
      <c r="AB263" s="5">
        <f t="shared" si="42"/>
        <v>0.45</v>
      </c>
      <c r="AC263" s="5">
        <f t="shared" si="42"/>
        <v>0.4</v>
      </c>
      <c r="AD263" s="5">
        <f t="shared" si="42"/>
        <v>0.39</v>
      </c>
      <c r="AE263" s="5">
        <f t="shared" si="42"/>
        <v>0.36</v>
      </c>
      <c r="AF263" s="5">
        <f t="shared" si="42"/>
        <v>0.33</v>
      </c>
      <c r="AG263" s="5">
        <f t="shared" si="42"/>
        <v>0.32</v>
      </c>
      <c r="AH263" s="5">
        <f t="shared" si="37"/>
        <v>0.25</v>
      </c>
      <c r="AI263" s="5">
        <f t="shared" si="37"/>
        <v>0.22</v>
      </c>
      <c r="AJ263" s="5">
        <f t="shared" si="37"/>
        <v>0.2</v>
      </c>
    </row>
    <row r="264" spans="1:36">
      <c r="A264" t="str">
        <f>"casthouse_procurement_archetype_"&amp;TEXT(ROUND(Table21319[[#This Row],[2016]],1),"0.0")</f>
        <v>casthouse_procurement_archetype_4.1</v>
      </c>
      <c r="B264" s="5">
        <f t="shared" si="44"/>
        <v>4.1</v>
      </c>
      <c r="C264" s="5">
        <f t="shared" si="43"/>
        <v>4.1</v>
      </c>
      <c r="D264" s="5">
        <f t="shared" si="43"/>
        <v>4.1</v>
      </c>
      <c r="E264" s="5">
        <f t="shared" si="43"/>
        <v>4</v>
      </c>
      <c r="F264" s="5">
        <f t="shared" si="43"/>
        <v>3.77</v>
      </c>
      <c r="G264" s="5">
        <f t="shared" si="43"/>
        <v>3.8</v>
      </c>
      <c r="H264" s="5">
        <f t="shared" si="43"/>
        <v>3.7</v>
      </c>
      <c r="I264" s="5">
        <f t="shared" si="43"/>
        <v>3.51</v>
      </c>
      <c r="J264" s="5">
        <f t="shared" si="43"/>
        <v>3.4</v>
      </c>
      <c r="K264" s="5">
        <f t="shared" si="43"/>
        <v>3.29</v>
      </c>
      <c r="L264" s="5">
        <f t="shared" si="43"/>
        <v>3.11</v>
      </c>
      <c r="M264" s="5">
        <f t="shared" si="43"/>
        <v>3.09</v>
      </c>
      <c r="N264" s="5">
        <f t="shared" si="43"/>
        <v>2.94</v>
      </c>
      <c r="O264" s="5">
        <f t="shared" si="43"/>
        <v>2.79</v>
      </c>
      <c r="P264" s="5">
        <f t="shared" si="43"/>
        <v>2.61</v>
      </c>
      <c r="Q264" s="5">
        <f t="shared" si="43"/>
        <v>2.27</v>
      </c>
      <c r="R264" s="5">
        <f t="shared" si="43"/>
        <v>1.8</v>
      </c>
      <c r="S264" s="5">
        <f t="shared" si="42"/>
        <v>1.65</v>
      </c>
      <c r="T264" s="5">
        <f t="shared" si="42"/>
        <v>1.33</v>
      </c>
      <c r="U264" s="5">
        <f t="shared" si="42"/>
        <v>1</v>
      </c>
      <c r="V264" s="5">
        <f t="shared" si="42"/>
        <v>0.94</v>
      </c>
      <c r="W264" s="5">
        <f t="shared" si="42"/>
        <v>0.76</v>
      </c>
      <c r="X264" s="5">
        <f t="shared" si="42"/>
        <v>0.67</v>
      </c>
      <c r="Y264" s="5">
        <f t="shared" si="42"/>
        <v>0.57</v>
      </c>
      <c r="Z264" s="5">
        <f t="shared" si="42"/>
        <v>0.56</v>
      </c>
      <c r="AA264" s="5">
        <f t="shared" si="42"/>
        <v>0.51</v>
      </c>
      <c r="AB264" s="5">
        <f t="shared" si="42"/>
        <v>0.45</v>
      </c>
      <c r="AC264" s="5">
        <f t="shared" si="42"/>
        <v>0.4</v>
      </c>
      <c r="AD264" s="5">
        <f t="shared" si="42"/>
        <v>0.39</v>
      </c>
      <c r="AE264" s="5">
        <f t="shared" si="42"/>
        <v>0.35</v>
      </c>
      <c r="AF264" s="5">
        <f t="shared" si="42"/>
        <v>0.33</v>
      </c>
      <c r="AG264" s="5">
        <f t="shared" si="42"/>
        <v>0.31</v>
      </c>
      <c r="AH264" s="5">
        <f t="shared" si="37"/>
        <v>0.25</v>
      </c>
      <c r="AI264" s="5">
        <f t="shared" si="37"/>
        <v>0.22</v>
      </c>
      <c r="AJ264" s="5">
        <f t="shared" si="37"/>
        <v>0.2</v>
      </c>
    </row>
    <row r="265" spans="1:36">
      <c r="A265" t="str">
        <f>"casthouse_procurement_archetype_"&amp;TEXT(ROUND(Table21319[[#This Row],[2016]],1),"0.0")</f>
        <v>casthouse_procurement_archetype_4.0</v>
      </c>
      <c r="B265" s="5">
        <f t="shared" si="44"/>
        <v>4</v>
      </c>
      <c r="C265" s="5">
        <f t="shared" si="43"/>
        <v>4</v>
      </c>
      <c r="D265" s="5">
        <f t="shared" si="43"/>
        <v>4</v>
      </c>
      <c r="E265" s="5">
        <f t="shared" si="43"/>
        <v>3.91</v>
      </c>
      <c r="F265" s="5">
        <f t="shared" si="43"/>
        <v>3.68</v>
      </c>
      <c r="G265" s="5">
        <f t="shared" si="43"/>
        <v>3.71</v>
      </c>
      <c r="H265" s="5">
        <f t="shared" si="43"/>
        <v>3.61</v>
      </c>
      <c r="I265" s="5">
        <f t="shared" si="43"/>
        <v>3.42</v>
      </c>
      <c r="J265" s="5">
        <f t="shared" si="43"/>
        <v>3.32</v>
      </c>
      <c r="K265" s="5">
        <f t="shared" si="43"/>
        <v>3.21</v>
      </c>
      <c r="L265" s="5">
        <f t="shared" si="43"/>
        <v>3.04</v>
      </c>
      <c r="M265" s="5">
        <f t="shared" si="43"/>
        <v>3.01</v>
      </c>
      <c r="N265" s="5">
        <f t="shared" si="43"/>
        <v>2.87</v>
      </c>
      <c r="O265" s="5">
        <f t="shared" si="43"/>
        <v>2.73</v>
      </c>
      <c r="P265" s="5">
        <f t="shared" si="43"/>
        <v>2.55</v>
      </c>
      <c r="Q265" s="5">
        <f t="shared" si="43"/>
        <v>2.22</v>
      </c>
      <c r="R265" s="5">
        <f t="shared" si="43"/>
        <v>1.76</v>
      </c>
      <c r="S265" s="5">
        <f t="shared" si="42"/>
        <v>1.61</v>
      </c>
      <c r="T265" s="5">
        <f t="shared" si="42"/>
        <v>1.3</v>
      </c>
      <c r="U265" s="5">
        <f t="shared" si="42"/>
        <v>0.98</v>
      </c>
      <c r="V265" s="5">
        <f t="shared" si="42"/>
        <v>0.92</v>
      </c>
      <c r="W265" s="5">
        <f t="shared" si="42"/>
        <v>0.75</v>
      </c>
      <c r="X265" s="5">
        <f t="shared" si="42"/>
        <v>0.65</v>
      </c>
      <c r="Y265" s="5">
        <f t="shared" si="42"/>
        <v>0.56</v>
      </c>
      <c r="Z265" s="5">
        <f t="shared" si="42"/>
        <v>0.55</v>
      </c>
      <c r="AA265" s="5">
        <f t="shared" si="42"/>
        <v>0.5</v>
      </c>
      <c r="AB265" s="5">
        <f t="shared" si="42"/>
        <v>0.44</v>
      </c>
      <c r="AC265" s="5">
        <f t="shared" si="42"/>
        <v>0.39</v>
      </c>
      <c r="AD265" s="5">
        <f t="shared" si="42"/>
        <v>0.38</v>
      </c>
      <c r="AE265" s="5">
        <f t="shared" si="42"/>
        <v>0.35</v>
      </c>
      <c r="AF265" s="5">
        <f t="shared" si="42"/>
        <v>0.33</v>
      </c>
      <c r="AG265" s="5">
        <f t="shared" si="42"/>
        <v>0.31</v>
      </c>
      <c r="AH265" s="5">
        <f t="shared" si="37"/>
        <v>0.25</v>
      </c>
      <c r="AI265" s="5">
        <f t="shared" si="37"/>
        <v>0.22</v>
      </c>
      <c r="AJ265" s="5">
        <f t="shared" si="37"/>
        <v>0.2</v>
      </c>
    </row>
    <row r="266" spans="1:36">
      <c r="A266" t="str">
        <f>"casthouse_procurement_archetype_"&amp;TEXT(ROUND(Table21319[[#This Row],[2016]],1),"0.0")</f>
        <v>casthouse_procurement_archetype_3.9</v>
      </c>
      <c r="B266" s="5">
        <f t="shared" si="44"/>
        <v>3.9</v>
      </c>
      <c r="C266" s="5">
        <f t="shared" si="43"/>
        <v>3.9</v>
      </c>
      <c r="D266" s="5">
        <f t="shared" si="43"/>
        <v>3.9</v>
      </c>
      <c r="E266" s="5">
        <f t="shared" si="43"/>
        <v>3.81</v>
      </c>
      <c r="F266" s="5">
        <f t="shared" si="43"/>
        <v>3.59</v>
      </c>
      <c r="G266" s="5">
        <f t="shared" si="43"/>
        <v>3.62</v>
      </c>
      <c r="H266" s="5">
        <f t="shared" si="43"/>
        <v>3.52</v>
      </c>
      <c r="I266" s="5">
        <f t="shared" si="43"/>
        <v>3.34</v>
      </c>
      <c r="J266" s="5">
        <f t="shared" si="43"/>
        <v>3.24</v>
      </c>
      <c r="K266" s="5">
        <f t="shared" si="43"/>
        <v>3.13</v>
      </c>
      <c r="L266" s="5">
        <f t="shared" si="43"/>
        <v>2.96</v>
      </c>
      <c r="M266" s="5">
        <f t="shared" si="43"/>
        <v>2.94</v>
      </c>
      <c r="N266" s="5">
        <f t="shared" si="43"/>
        <v>2.8</v>
      </c>
      <c r="O266" s="5">
        <f t="shared" si="43"/>
        <v>2.66</v>
      </c>
      <c r="P266" s="5">
        <f t="shared" si="43"/>
        <v>2.49</v>
      </c>
      <c r="Q266" s="5">
        <f t="shared" si="43"/>
        <v>2.16</v>
      </c>
      <c r="R266" s="5">
        <f t="shared" si="43"/>
        <v>1.72</v>
      </c>
      <c r="S266" s="5">
        <f t="shared" si="42"/>
        <v>1.58</v>
      </c>
      <c r="T266" s="5">
        <f t="shared" si="42"/>
        <v>1.27</v>
      </c>
      <c r="U266" s="5">
        <f t="shared" si="42"/>
        <v>0.96</v>
      </c>
      <c r="V266" s="5">
        <f t="shared" si="42"/>
        <v>0.9</v>
      </c>
      <c r="W266" s="5">
        <f t="shared" si="42"/>
        <v>0.73</v>
      </c>
      <c r="X266" s="5">
        <f t="shared" si="42"/>
        <v>0.64</v>
      </c>
      <c r="Y266" s="5">
        <f t="shared" si="42"/>
        <v>0.55</v>
      </c>
      <c r="Z266" s="5">
        <f t="shared" si="42"/>
        <v>0.54</v>
      </c>
      <c r="AA266" s="5">
        <f t="shared" si="42"/>
        <v>0.5</v>
      </c>
      <c r="AB266" s="5">
        <f t="shared" si="42"/>
        <v>0.44</v>
      </c>
      <c r="AC266" s="5">
        <f t="shared" si="42"/>
        <v>0.39</v>
      </c>
      <c r="AD266" s="5">
        <f t="shared" si="42"/>
        <v>0.38</v>
      </c>
      <c r="AE266" s="5">
        <f t="shared" si="42"/>
        <v>0.34</v>
      </c>
      <c r="AF266" s="5">
        <f t="shared" si="42"/>
        <v>0.32</v>
      </c>
      <c r="AG266" s="5">
        <f t="shared" si="42"/>
        <v>0.31</v>
      </c>
      <c r="AH266" s="5">
        <f t="shared" si="37"/>
        <v>0.25</v>
      </c>
      <c r="AI266" s="5">
        <f t="shared" si="37"/>
        <v>0.22</v>
      </c>
      <c r="AJ266" s="5">
        <f t="shared" si="37"/>
        <v>0.2</v>
      </c>
    </row>
    <row r="267" spans="1:36">
      <c r="A267" t="str">
        <f>"casthouse_procurement_archetype_"&amp;TEXT(ROUND(Table21319[[#This Row],[2016]],1),"0.0")</f>
        <v>casthouse_procurement_archetype_3.8</v>
      </c>
      <c r="B267" s="5">
        <f t="shared" si="44"/>
        <v>3.8</v>
      </c>
      <c r="C267" s="5">
        <f t="shared" si="43"/>
        <v>3.8</v>
      </c>
      <c r="D267" s="5">
        <f t="shared" si="43"/>
        <v>3.8</v>
      </c>
      <c r="E267" s="5">
        <f t="shared" si="43"/>
        <v>3.71</v>
      </c>
      <c r="F267" s="5">
        <f t="shared" si="43"/>
        <v>3.5</v>
      </c>
      <c r="G267" s="5">
        <f t="shared" si="43"/>
        <v>3.53</v>
      </c>
      <c r="H267" s="5">
        <f t="shared" si="43"/>
        <v>3.43</v>
      </c>
      <c r="I267" s="5">
        <f t="shared" si="43"/>
        <v>3.25</v>
      </c>
      <c r="J267" s="5">
        <f t="shared" si="43"/>
        <v>3.15</v>
      </c>
      <c r="K267" s="5">
        <f t="shared" si="43"/>
        <v>3.05</v>
      </c>
      <c r="L267" s="5">
        <f t="shared" si="43"/>
        <v>2.89</v>
      </c>
      <c r="M267" s="5">
        <f t="shared" si="43"/>
        <v>2.87</v>
      </c>
      <c r="N267" s="5">
        <f t="shared" si="43"/>
        <v>2.73</v>
      </c>
      <c r="O267" s="5">
        <f t="shared" si="43"/>
        <v>2.59</v>
      </c>
      <c r="P267" s="5">
        <f t="shared" si="43"/>
        <v>2.43</v>
      </c>
      <c r="Q267" s="5">
        <f t="shared" si="43"/>
        <v>2.11</v>
      </c>
      <c r="R267" s="5">
        <f t="shared" si="43"/>
        <v>1.68</v>
      </c>
      <c r="S267" s="5">
        <f t="shared" si="42"/>
        <v>1.54</v>
      </c>
      <c r="T267" s="5">
        <f t="shared" si="42"/>
        <v>1.24</v>
      </c>
      <c r="U267" s="5">
        <f t="shared" si="42"/>
        <v>0.94</v>
      </c>
      <c r="V267" s="5">
        <f t="shared" si="42"/>
        <v>0.88</v>
      </c>
      <c r="W267" s="5">
        <f t="shared" si="42"/>
        <v>0.72</v>
      </c>
      <c r="X267" s="5">
        <f t="shared" si="42"/>
        <v>0.63</v>
      </c>
      <c r="Y267" s="5">
        <f t="shared" si="42"/>
        <v>0.54</v>
      </c>
      <c r="Z267" s="5">
        <f t="shared" si="42"/>
        <v>0.53</v>
      </c>
      <c r="AA267" s="5">
        <f t="shared" si="42"/>
        <v>0.49</v>
      </c>
      <c r="AB267" s="5">
        <f t="shared" si="42"/>
        <v>0.43</v>
      </c>
      <c r="AC267" s="5">
        <f t="shared" si="42"/>
        <v>0.38</v>
      </c>
      <c r="AD267" s="5">
        <f t="shared" si="42"/>
        <v>0.37</v>
      </c>
      <c r="AE267" s="5">
        <f t="shared" si="42"/>
        <v>0.34</v>
      </c>
      <c r="AF267" s="5">
        <f t="shared" si="42"/>
        <v>0.32</v>
      </c>
      <c r="AG267" s="5">
        <f t="shared" si="42"/>
        <v>0.3</v>
      </c>
      <c r="AH267" s="5">
        <f t="shared" si="37"/>
        <v>0.25</v>
      </c>
      <c r="AI267" s="5">
        <f t="shared" si="37"/>
        <v>0.22</v>
      </c>
      <c r="AJ267" s="5">
        <f t="shared" si="37"/>
        <v>0.2</v>
      </c>
    </row>
    <row r="268" spans="1:36">
      <c r="A268" t="str">
        <f>"casthouse_procurement_archetype_"&amp;TEXT(ROUND(Table21319[[#This Row],[2016]],1),"0.0")</f>
        <v>casthouse_procurement_archetype_3.7</v>
      </c>
      <c r="B268" s="5">
        <f t="shared" si="44"/>
        <v>3.7</v>
      </c>
      <c r="C268" s="5">
        <f t="shared" si="43"/>
        <v>3.7</v>
      </c>
      <c r="D268" s="5">
        <f t="shared" si="43"/>
        <v>3.7</v>
      </c>
      <c r="E268" s="5">
        <f t="shared" si="43"/>
        <v>3.61</v>
      </c>
      <c r="F268" s="5">
        <f t="shared" si="43"/>
        <v>3.41</v>
      </c>
      <c r="G268" s="5">
        <f t="shared" si="43"/>
        <v>3.43</v>
      </c>
      <c r="H268" s="5">
        <f t="shared" si="43"/>
        <v>3.34</v>
      </c>
      <c r="I268" s="5">
        <f t="shared" si="43"/>
        <v>3.17</v>
      </c>
      <c r="J268" s="5">
        <f t="shared" si="43"/>
        <v>3.07</v>
      </c>
      <c r="K268" s="5">
        <f t="shared" si="43"/>
        <v>2.97</v>
      </c>
      <c r="L268" s="5">
        <f t="shared" si="43"/>
        <v>2.81</v>
      </c>
      <c r="M268" s="5">
        <f t="shared" si="43"/>
        <v>2.79</v>
      </c>
      <c r="N268" s="5">
        <f t="shared" si="43"/>
        <v>2.66</v>
      </c>
      <c r="O268" s="5">
        <f t="shared" si="43"/>
        <v>2.53</v>
      </c>
      <c r="P268" s="5">
        <f t="shared" si="43"/>
        <v>2.37</v>
      </c>
      <c r="Q268" s="5">
        <f t="shared" si="43"/>
        <v>2.06</v>
      </c>
      <c r="R268" s="5">
        <f t="shared" ref="R268:AG283" si="45">MROUND((($B268-$AJ$2)*((R$2-$AJ$2)/($B$2-$AJ$2)))+$AJ$2,0.01)</f>
        <v>1.64</v>
      </c>
      <c r="S268" s="5">
        <f t="shared" si="45"/>
        <v>1.5</v>
      </c>
      <c r="T268" s="5">
        <f t="shared" si="45"/>
        <v>1.21</v>
      </c>
      <c r="U268" s="5">
        <f t="shared" si="45"/>
        <v>0.92</v>
      </c>
      <c r="V268" s="5">
        <f t="shared" si="45"/>
        <v>0.87</v>
      </c>
      <c r="W268" s="5">
        <f t="shared" si="45"/>
        <v>0.7</v>
      </c>
      <c r="X268" s="5">
        <f t="shared" si="45"/>
        <v>0.62</v>
      </c>
      <c r="Y268" s="5">
        <f t="shared" si="45"/>
        <v>0.53</v>
      </c>
      <c r="Z268" s="5">
        <f t="shared" si="45"/>
        <v>0.52</v>
      </c>
      <c r="AA268" s="5">
        <f t="shared" si="45"/>
        <v>0.48</v>
      </c>
      <c r="AB268" s="5">
        <f t="shared" si="45"/>
        <v>0.42</v>
      </c>
      <c r="AC268" s="5">
        <f t="shared" si="45"/>
        <v>0.38</v>
      </c>
      <c r="AD268" s="5">
        <f t="shared" si="45"/>
        <v>0.37</v>
      </c>
      <c r="AE268" s="5">
        <f t="shared" si="45"/>
        <v>0.34</v>
      </c>
      <c r="AF268" s="5">
        <f t="shared" si="45"/>
        <v>0.32</v>
      </c>
      <c r="AG268" s="5">
        <f t="shared" si="45"/>
        <v>0.3</v>
      </c>
      <c r="AH268" s="5">
        <f t="shared" si="37"/>
        <v>0.25</v>
      </c>
      <c r="AI268" s="5">
        <f t="shared" si="37"/>
        <v>0.22</v>
      </c>
      <c r="AJ268" s="5">
        <f t="shared" si="37"/>
        <v>0.2</v>
      </c>
    </row>
    <row r="269" spans="1:36">
      <c r="A269" t="str">
        <f>"casthouse_procurement_archetype_"&amp;TEXT(ROUND(Table21319[[#This Row],[2016]],1),"0.0")</f>
        <v>casthouse_procurement_archetype_3.6</v>
      </c>
      <c r="B269" s="5">
        <f t="shared" si="44"/>
        <v>3.6</v>
      </c>
      <c r="C269" s="5">
        <f t="shared" ref="C269:R284" si="46">MROUND((($B269-$AJ$2)*((C$2-$AJ$2)/($B$2-$AJ$2)))+$AJ$2,0.01)</f>
        <v>3.6</v>
      </c>
      <c r="D269" s="5">
        <f t="shared" si="46"/>
        <v>3.6</v>
      </c>
      <c r="E269" s="5">
        <f t="shared" si="46"/>
        <v>3.52</v>
      </c>
      <c r="F269" s="5">
        <f t="shared" si="46"/>
        <v>3.31</v>
      </c>
      <c r="G269" s="5">
        <f t="shared" si="46"/>
        <v>3.34</v>
      </c>
      <c r="H269" s="5">
        <f t="shared" si="46"/>
        <v>3.25</v>
      </c>
      <c r="I269" s="5">
        <f t="shared" si="46"/>
        <v>3.08</v>
      </c>
      <c r="J269" s="5">
        <f t="shared" si="46"/>
        <v>2.99</v>
      </c>
      <c r="K269" s="5">
        <f t="shared" si="46"/>
        <v>2.89</v>
      </c>
      <c r="L269" s="5">
        <f t="shared" si="46"/>
        <v>2.74</v>
      </c>
      <c r="M269" s="5">
        <f t="shared" si="46"/>
        <v>2.72</v>
      </c>
      <c r="N269" s="5">
        <f t="shared" si="46"/>
        <v>2.59</v>
      </c>
      <c r="O269" s="5">
        <f t="shared" si="46"/>
        <v>2.46</v>
      </c>
      <c r="P269" s="5">
        <f t="shared" si="46"/>
        <v>2.3</v>
      </c>
      <c r="Q269" s="5">
        <f t="shared" si="46"/>
        <v>2</v>
      </c>
      <c r="R269" s="5">
        <f t="shared" si="46"/>
        <v>1.6</v>
      </c>
      <c r="S269" s="5">
        <f t="shared" si="45"/>
        <v>1.47</v>
      </c>
      <c r="T269" s="5">
        <f t="shared" si="45"/>
        <v>1.18</v>
      </c>
      <c r="U269" s="5">
        <f t="shared" si="45"/>
        <v>0.9</v>
      </c>
      <c r="V269" s="5">
        <f t="shared" si="45"/>
        <v>0.85</v>
      </c>
      <c r="W269" s="5">
        <f t="shared" si="45"/>
        <v>0.69</v>
      </c>
      <c r="X269" s="5">
        <f t="shared" si="45"/>
        <v>0.61</v>
      </c>
      <c r="Y269" s="5">
        <f t="shared" si="45"/>
        <v>0.52</v>
      </c>
      <c r="Z269" s="5">
        <f t="shared" si="45"/>
        <v>0.51</v>
      </c>
      <c r="AA269" s="5">
        <f t="shared" si="45"/>
        <v>0.47</v>
      </c>
      <c r="AB269" s="5">
        <f t="shared" si="45"/>
        <v>0.42</v>
      </c>
      <c r="AC269" s="5">
        <f t="shared" si="45"/>
        <v>0.37</v>
      </c>
      <c r="AD269" s="5">
        <f t="shared" si="45"/>
        <v>0.36</v>
      </c>
      <c r="AE269" s="5">
        <f t="shared" si="45"/>
        <v>0.33</v>
      </c>
      <c r="AF269" s="5">
        <f t="shared" si="45"/>
        <v>0.31</v>
      </c>
      <c r="AG269" s="5">
        <f t="shared" si="45"/>
        <v>0.3</v>
      </c>
      <c r="AH269" s="5">
        <f t="shared" si="37"/>
        <v>0.24</v>
      </c>
      <c r="AI269" s="5">
        <f t="shared" si="37"/>
        <v>0.21</v>
      </c>
      <c r="AJ269" s="5">
        <f t="shared" si="37"/>
        <v>0.2</v>
      </c>
    </row>
    <row r="270" spans="1:36">
      <c r="A270" t="str">
        <f>"casthouse_procurement_archetype_"&amp;TEXT(ROUND(Table21319[[#This Row],[2016]],1),"0.0")</f>
        <v>casthouse_procurement_archetype_3.5</v>
      </c>
      <c r="B270" s="5">
        <f t="shared" si="44"/>
        <v>3.5</v>
      </c>
      <c r="C270" s="5">
        <f t="shared" si="46"/>
        <v>3.5</v>
      </c>
      <c r="D270" s="5">
        <f t="shared" si="46"/>
        <v>3.5</v>
      </c>
      <c r="E270" s="5">
        <f t="shared" si="46"/>
        <v>3.42</v>
      </c>
      <c r="F270" s="5">
        <f t="shared" si="46"/>
        <v>3.22</v>
      </c>
      <c r="G270" s="5">
        <f t="shared" si="46"/>
        <v>3.25</v>
      </c>
      <c r="H270" s="5">
        <f t="shared" si="46"/>
        <v>3.16</v>
      </c>
      <c r="I270" s="5">
        <f t="shared" si="46"/>
        <v>3</v>
      </c>
      <c r="J270" s="5">
        <f t="shared" si="46"/>
        <v>2.91</v>
      </c>
      <c r="K270" s="5">
        <f t="shared" si="46"/>
        <v>2.81</v>
      </c>
      <c r="L270" s="5">
        <f t="shared" si="46"/>
        <v>2.66</v>
      </c>
      <c r="M270" s="5">
        <f t="shared" si="46"/>
        <v>2.64</v>
      </c>
      <c r="N270" s="5">
        <f t="shared" si="46"/>
        <v>2.52</v>
      </c>
      <c r="O270" s="5">
        <f t="shared" si="46"/>
        <v>2.39</v>
      </c>
      <c r="P270" s="5">
        <f t="shared" si="46"/>
        <v>2.24</v>
      </c>
      <c r="Q270" s="5">
        <f t="shared" si="46"/>
        <v>1.95</v>
      </c>
      <c r="R270" s="5">
        <f t="shared" si="46"/>
        <v>1.55</v>
      </c>
      <c r="S270" s="5">
        <f t="shared" si="45"/>
        <v>1.43</v>
      </c>
      <c r="T270" s="5">
        <f t="shared" si="45"/>
        <v>1.15</v>
      </c>
      <c r="U270" s="5">
        <f t="shared" si="45"/>
        <v>0.88</v>
      </c>
      <c r="V270" s="5">
        <f t="shared" si="45"/>
        <v>0.83</v>
      </c>
      <c r="W270" s="5">
        <f t="shared" si="45"/>
        <v>0.67</v>
      </c>
      <c r="X270" s="5">
        <f t="shared" si="45"/>
        <v>0.6</v>
      </c>
      <c r="Y270" s="5">
        <f t="shared" si="45"/>
        <v>0.51</v>
      </c>
      <c r="Z270" s="5">
        <f t="shared" si="45"/>
        <v>0.5</v>
      </c>
      <c r="AA270" s="5">
        <f t="shared" si="45"/>
        <v>0.46</v>
      </c>
      <c r="AB270" s="5">
        <f t="shared" si="45"/>
        <v>0.41</v>
      </c>
      <c r="AC270" s="5">
        <f t="shared" si="45"/>
        <v>0.37</v>
      </c>
      <c r="AD270" s="5">
        <f t="shared" si="45"/>
        <v>0.36</v>
      </c>
      <c r="AE270" s="5">
        <f t="shared" si="45"/>
        <v>0.33</v>
      </c>
      <c r="AF270" s="5">
        <f t="shared" si="45"/>
        <v>0.31</v>
      </c>
      <c r="AG270" s="5">
        <f t="shared" si="45"/>
        <v>0.3</v>
      </c>
      <c r="AH270" s="5">
        <f t="shared" si="37"/>
        <v>0.24</v>
      </c>
      <c r="AI270" s="5">
        <f t="shared" si="37"/>
        <v>0.21</v>
      </c>
      <c r="AJ270" s="5">
        <f t="shared" si="37"/>
        <v>0.2</v>
      </c>
    </row>
    <row r="271" spans="1:36">
      <c r="A271" t="str">
        <f>"casthouse_procurement_archetype_"&amp;TEXT(ROUND(Table21319[[#This Row],[2016]],1),"0.0")</f>
        <v>casthouse_procurement_archetype_3.4</v>
      </c>
      <c r="B271" s="5">
        <f t="shared" si="44"/>
        <v>3.4</v>
      </c>
      <c r="C271" s="5">
        <f t="shared" si="46"/>
        <v>3.4</v>
      </c>
      <c r="D271" s="5">
        <f t="shared" si="46"/>
        <v>3.4</v>
      </c>
      <c r="E271" s="5">
        <f t="shared" si="46"/>
        <v>3.32</v>
      </c>
      <c r="F271" s="5">
        <f t="shared" si="46"/>
        <v>3.13</v>
      </c>
      <c r="G271" s="5">
        <f t="shared" si="46"/>
        <v>3.16</v>
      </c>
      <c r="H271" s="5">
        <f t="shared" si="46"/>
        <v>3.08</v>
      </c>
      <c r="I271" s="5">
        <f t="shared" si="46"/>
        <v>2.92</v>
      </c>
      <c r="J271" s="5">
        <f t="shared" si="46"/>
        <v>2.83</v>
      </c>
      <c r="K271" s="5">
        <f t="shared" si="46"/>
        <v>2.73</v>
      </c>
      <c r="L271" s="5">
        <f t="shared" si="46"/>
        <v>2.59</v>
      </c>
      <c r="M271" s="5">
        <f t="shared" si="46"/>
        <v>2.57</v>
      </c>
      <c r="N271" s="5">
        <f t="shared" si="46"/>
        <v>2.45</v>
      </c>
      <c r="O271" s="5">
        <f t="shared" si="46"/>
        <v>2.33</v>
      </c>
      <c r="P271" s="5">
        <f t="shared" si="46"/>
        <v>2.18</v>
      </c>
      <c r="Q271" s="5">
        <f t="shared" si="46"/>
        <v>1.9</v>
      </c>
      <c r="R271" s="5">
        <f t="shared" si="46"/>
        <v>1.51</v>
      </c>
      <c r="S271" s="5">
        <f t="shared" si="45"/>
        <v>1.39</v>
      </c>
      <c r="T271" s="5">
        <f t="shared" si="45"/>
        <v>1.13</v>
      </c>
      <c r="U271" s="5">
        <f t="shared" si="45"/>
        <v>0.86</v>
      </c>
      <c r="V271" s="5">
        <f t="shared" si="45"/>
        <v>0.81</v>
      </c>
      <c r="W271" s="5">
        <f t="shared" si="45"/>
        <v>0.66</v>
      </c>
      <c r="X271" s="5">
        <f t="shared" si="45"/>
        <v>0.58</v>
      </c>
      <c r="Y271" s="5">
        <f t="shared" si="45"/>
        <v>0.5</v>
      </c>
      <c r="Z271" s="5">
        <f t="shared" si="45"/>
        <v>0.49</v>
      </c>
      <c r="AA271" s="5">
        <f t="shared" si="45"/>
        <v>0.46</v>
      </c>
      <c r="AB271" s="5">
        <f t="shared" si="45"/>
        <v>0.4</v>
      </c>
      <c r="AC271" s="5">
        <f t="shared" si="45"/>
        <v>0.36</v>
      </c>
      <c r="AD271" s="5">
        <f t="shared" si="45"/>
        <v>0.35</v>
      </c>
      <c r="AE271" s="5">
        <f t="shared" si="45"/>
        <v>0.32</v>
      </c>
      <c r="AF271" s="5">
        <f t="shared" si="45"/>
        <v>0.31</v>
      </c>
      <c r="AG271" s="5">
        <f t="shared" si="45"/>
        <v>0.29</v>
      </c>
      <c r="AH271" s="5">
        <f t="shared" si="37"/>
        <v>0.24</v>
      </c>
      <c r="AI271" s="5">
        <f t="shared" si="37"/>
        <v>0.21</v>
      </c>
      <c r="AJ271" s="5">
        <f t="shared" si="37"/>
        <v>0.2</v>
      </c>
    </row>
    <row r="272" spans="1:36">
      <c r="A272" t="str">
        <f>"casthouse_procurement_archetype_"&amp;TEXT(ROUND(Table21319[[#This Row],[2016]],1),"0.0")</f>
        <v>casthouse_procurement_archetype_3.3</v>
      </c>
      <c r="B272" s="5">
        <f t="shared" si="44"/>
        <v>3.3</v>
      </c>
      <c r="C272" s="5">
        <f t="shared" si="46"/>
        <v>3.3</v>
      </c>
      <c r="D272" s="5">
        <f t="shared" si="46"/>
        <v>3.3</v>
      </c>
      <c r="E272" s="5">
        <f t="shared" si="46"/>
        <v>3.22</v>
      </c>
      <c r="F272" s="5">
        <f t="shared" si="46"/>
        <v>3.04</v>
      </c>
      <c r="G272" s="5">
        <f t="shared" si="46"/>
        <v>3.07</v>
      </c>
      <c r="H272" s="5">
        <f t="shared" si="46"/>
        <v>2.99</v>
      </c>
      <c r="I272" s="5">
        <f t="shared" si="46"/>
        <v>2.83</v>
      </c>
      <c r="J272" s="5">
        <f t="shared" si="46"/>
        <v>2.74</v>
      </c>
      <c r="K272" s="5">
        <f t="shared" si="46"/>
        <v>2.65</v>
      </c>
      <c r="L272" s="5">
        <f t="shared" si="46"/>
        <v>2.51</v>
      </c>
      <c r="M272" s="5">
        <f t="shared" si="46"/>
        <v>2.5</v>
      </c>
      <c r="N272" s="5">
        <f t="shared" si="46"/>
        <v>2.38</v>
      </c>
      <c r="O272" s="5">
        <f t="shared" si="46"/>
        <v>2.26</v>
      </c>
      <c r="P272" s="5">
        <f t="shared" si="46"/>
        <v>2.12</v>
      </c>
      <c r="Q272" s="5">
        <f t="shared" si="46"/>
        <v>1.84</v>
      </c>
      <c r="R272" s="5">
        <f t="shared" si="46"/>
        <v>1.47</v>
      </c>
      <c r="S272" s="5">
        <f t="shared" si="45"/>
        <v>1.35</v>
      </c>
      <c r="T272" s="5">
        <f t="shared" si="45"/>
        <v>1.1</v>
      </c>
      <c r="U272" s="5">
        <f t="shared" si="45"/>
        <v>0.84</v>
      </c>
      <c r="V272" s="5">
        <f t="shared" si="45"/>
        <v>0.79</v>
      </c>
      <c r="W272" s="5">
        <f t="shared" si="45"/>
        <v>0.64</v>
      </c>
      <c r="X272" s="5">
        <f t="shared" si="45"/>
        <v>0.57</v>
      </c>
      <c r="Y272" s="5">
        <f t="shared" si="45"/>
        <v>0.49</v>
      </c>
      <c r="Z272" s="5">
        <f t="shared" si="45"/>
        <v>0.48</v>
      </c>
      <c r="AA272" s="5">
        <f t="shared" si="45"/>
        <v>0.45</v>
      </c>
      <c r="AB272" s="5">
        <f t="shared" si="45"/>
        <v>0.4</v>
      </c>
      <c r="AC272" s="5">
        <f t="shared" si="45"/>
        <v>0.36</v>
      </c>
      <c r="AD272" s="5">
        <f t="shared" si="45"/>
        <v>0.35</v>
      </c>
      <c r="AE272" s="5">
        <f t="shared" si="45"/>
        <v>0.32</v>
      </c>
      <c r="AF272" s="5">
        <f t="shared" si="45"/>
        <v>0.3</v>
      </c>
      <c r="AG272" s="5">
        <f t="shared" si="45"/>
        <v>0.29</v>
      </c>
      <c r="AH272" s="5">
        <f t="shared" si="37"/>
        <v>0.24</v>
      </c>
      <c r="AI272" s="5">
        <f t="shared" si="37"/>
        <v>0.21</v>
      </c>
      <c r="AJ272" s="5">
        <f t="shared" si="37"/>
        <v>0.2</v>
      </c>
    </row>
    <row r="273" spans="1:36">
      <c r="A273" t="str">
        <f>"casthouse_procurement_archetype_"&amp;TEXT(ROUND(Table21319[[#This Row],[2016]],1),"0.0")</f>
        <v>casthouse_procurement_archetype_3.2</v>
      </c>
      <c r="B273" s="5">
        <f t="shared" si="44"/>
        <v>3.2</v>
      </c>
      <c r="C273" s="5">
        <f t="shared" si="46"/>
        <v>3.2</v>
      </c>
      <c r="D273" s="5">
        <f t="shared" si="46"/>
        <v>3.2</v>
      </c>
      <c r="E273" s="5">
        <f t="shared" si="46"/>
        <v>3.13</v>
      </c>
      <c r="F273" s="5">
        <f t="shared" si="46"/>
        <v>2.95</v>
      </c>
      <c r="G273" s="5">
        <f t="shared" si="46"/>
        <v>2.97</v>
      </c>
      <c r="H273" s="5">
        <f t="shared" si="46"/>
        <v>2.9</v>
      </c>
      <c r="I273" s="5">
        <f t="shared" si="46"/>
        <v>2.75</v>
      </c>
      <c r="J273" s="5">
        <f t="shared" si="46"/>
        <v>2.66</v>
      </c>
      <c r="K273" s="5">
        <f t="shared" si="46"/>
        <v>2.58</v>
      </c>
      <c r="L273" s="5">
        <f t="shared" si="46"/>
        <v>2.44</v>
      </c>
      <c r="M273" s="5">
        <f t="shared" si="46"/>
        <v>2.42</v>
      </c>
      <c r="N273" s="5">
        <f t="shared" si="46"/>
        <v>2.31</v>
      </c>
      <c r="O273" s="5">
        <f t="shared" si="46"/>
        <v>2.19</v>
      </c>
      <c r="P273" s="5">
        <f t="shared" si="46"/>
        <v>2.06</v>
      </c>
      <c r="Q273" s="5">
        <f t="shared" si="46"/>
        <v>1.79</v>
      </c>
      <c r="R273" s="5">
        <f t="shared" si="46"/>
        <v>1.43</v>
      </c>
      <c r="S273" s="5">
        <f t="shared" si="45"/>
        <v>1.32</v>
      </c>
      <c r="T273" s="5">
        <f t="shared" si="45"/>
        <v>1.07</v>
      </c>
      <c r="U273" s="5">
        <f t="shared" si="45"/>
        <v>0.82</v>
      </c>
      <c r="V273" s="5">
        <f t="shared" si="45"/>
        <v>0.77</v>
      </c>
      <c r="W273" s="5">
        <f t="shared" si="45"/>
        <v>0.63</v>
      </c>
      <c r="X273" s="5">
        <f t="shared" si="45"/>
        <v>0.56</v>
      </c>
      <c r="Y273" s="5">
        <f t="shared" si="45"/>
        <v>0.49</v>
      </c>
      <c r="Z273" s="5">
        <f t="shared" si="45"/>
        <v>0.47</v>
      </c>
      <c r="AA273" s="5">
        <f t="shared" si="45"/>
        <v>0.44</v>
      </c>
      <c r="AB273" s="5">
        <f t="shared" si="45"/>
        <v>0.39</v>
      </c>
      <c r="AC273" s="5">
        <f t="shared" si="45"/>
        <v>0.35</v>
      </c>
      <c r="AD273" s="5">
        <f t="shared" si="45"/>
        <v>0.34</v>
      </c>
      <c r="AE273" s="5">
        <f t="shared" si="45"/>
        <v>0.32</v>
      </c>
      <c r="AF273" s="5">
        <f t="shared" si="45"/>
        <v>0.3</v>
      </c>
      <c r="AG273" s="5">
        <f t="shared" si="45"/>
        <v>0.29</v>
      </c>
      <c r="AH273" s="5">
        <f t="shared" si="37"/>
        <v>0.24</v>
      </c>
      <c r="AI273" s="5">
        <f t="shared" si="37"/>
        <v>0.21</v>
      </c>
      <c r="AJ273" s="5">
        <f t="shared" si="37"/>
        <v>0.2</v>
      </c>
    </row>
    <row r="274" spans="1:36">
      <c r="A274" t="str">
        <f>"casthouse_procurement_archetype_"&amp;TEXT(ROUND(Table21319[[#This Row],[2016]],1),"0.0")</f>
        <v>casthouse_procurement_archetype_3.1</v>
      </c>
      <c r="B274" s="5">
        <f t="shared" si="44"/>
        <v>3.1</v>
      </c>
      <c r="C274" s="5">
        <f t="shared" si="46"/>
        <v>3.1</v>
      </c>
      <c r="D274" s="5">
        <f t="shared" si="46"/>
        <v>3.1</v>
      </c>
      <c r="E274" s="5">
        <f t="shared" si="46"/>
        <v>3.03</v>
      </c>
      <c r="F274" s="5">
        <f t="shared" si="46"/>
        <v>2.86</v>
      </c>
      <c r="G274" s="5">
        <f t="shared" si="46"/>
        <v>2.88</v>
      </c>
      <c r="H274" s="5">
        <f t="shared" si="46"/>
        <v>2.81</v>
      </c>
      <c r="I274" s="5">
        <f t="shared" si="46"/>
        <v>2.66</v>
      </c>
      <c r="J274" s="5">
        <f t="shared" si="46"/>
        <v>2.58</v>
      </c>
      <c r="K274" s="5">
        <f t="shared" si="46"/>
        <v>2.5</v>
      </c>
      <c r="L274" s="5">
        <f t="shared" si="46"/>
        <v>2.36</v>
      </c>
      <c r="M274" s="5">
        <f t="shared" si="46"/>
        <v>2.35</v>
      </c>
      <c r="N274" s="5">
        <f t="shared" si="46"/>
        <v>2.24</v>
      </c>
      <c r="O274" s="5">
        <f t="shared" si="46"/>
        <v>2.13</v>
      </c>
      <c r="P274" s="5">
        <f t="shared" si="46"/>
        <v>2</v>
      </c>
      <c r="Q274" s="5">
        <f t="shared" si="46"/>
        <v>1.74</v>
      </c>
      <c r="R274" s="5">
        <f t="shared" si="46"/>
        <v>1.39</v>
      </c>
      <c r="S274" s="5">
        <f t="shared" si="45"/>
        <v>1.28</v>
      </c>
      <c r="T274" s="5">
        <f t="shared" si="45"/>
        <v>1.04</v>
      </c>
      <c r="U274" s="5">
        <f t="shared" si="45"/>
        <v>0.8</v>
      </c>
      <c r="V274" s="5">
        <f t="shared" si="45"/>
        <v>0.75</v>
      </c>
      <c r="W274" s="5">
        <f t="shared" si="45"/>
        <v>0.62</v>
      </c>
      <c r="X274" s="5">
        <f t="shared" si="45"/>
        <v>0.55</v>
      </c>
      <c r="Y274" s="5">
        <f t="shared" si="45"/>
        <v>0.48</v>
      </c>
      <c r="Z274" s="5">
        <f t="shared" si="45"/>
        <v>0.46</v>
      </c>
      <c r="AA274" s="5">
        <f t="shared" si="45"/>
        <v>0.43</v>
      </c>
      <c r="AB274" s="5">
        <f t="shared" si="45"/>
        <v>0.38</v>
      </c>
      <c r="AC274" s="5">
        <f t="shared" si="45"/>
        <v>0.35</v>
      </c>
      <c r="AD274" s="5">
        <f t="shared" si="45"/>
        <v>0.34</v>
      </c>
      <c r="AE274" s="5">
        <f t="shared" si="45"/>
        <v>0.31</v>
      </c>
      <c r="AF274" s="5">
        <f t="shared" si="45"/>
        <v>0.3</v>
      </c>
      <c r="AG274" s="5">
        <f t="shared" si="45"/>
        <v>0.28</v>
      </c>
      <c r="AH274" s="5">
        <f t="shared" si="37"/>
        <v>0.24</v>
      </c>
      <c r="AI274" s="5">
        <f t="shared" si="37"/>
        <v>0.21</v>
      </c>
      <c r="AJ274" s="5">
        <f t="shared" si="37"/>
        <v>0.2</v>
      </c>
    </row>
    <row r="275" spans="1:36">
      <c r="A275" t="str">
        <f>"casthouse_procurement_archetype_"&amp;TEXT(ROUND(Table21319[[#This Row],[2016]],1),"0.0")</f>
        <v>casthouse_procurement_archetype_3.0</v>
      </c>
      <c r="B275" s="5">
        <f t="shared" si="44"/>
        <v>3</v>
      </c>
      <c r="C275" s="5">
        <f t="shared" si="46"/>
        <v>3</v>
      </c>
      <c r="D275" s="5">
        <f t="shared" si="46"/>
        <v>3</v>
      </c>
      <c r="E275" s="5">
        <f t="shared" si="46"/>
        <v>2.93</v>
      </c>
      <c r="F275" s="5">
        <f t="shared" si="46"/>
        <v>2.76</v>
      </c>
      <c r="G275" s="5">
        <f t="shared" si="46"/>
        <v>2.79</v>
      </c>
      <c r="H275" s="5">
        <f t="shared" si="46"/>
        <v>2.72</v>
      </c>
      <c r="I275" s="5">
        <f t="shared" si="46"/>
        <v>2.58</v>
      </c>
      <c r="J275" s="5">
        <f t="shared" si="46"/>
        <v>2.5</v>
      </c>
      <c r="K275" s="5">
        <f t="shared" si="46"/>
        <v>2.42</v>
      </c>
      <c r="L275" s="5">
        <f t="shared" si="46"/>
        <v>2.29</v>
      </c>
      <c r="M275" s="5">
        <f t="shared" si="46"/>
        <v>2.27</v>
      </c>
      <c r="N275" s="5">
        <f t="shared" si="46"/>
        <v>2.17</v>
      </c>
      <c r="O275" s="5">
        <f t="shared" si="46"/>
        <v>2.06</v>
      </c>
      <c r="P275" s="5">
        <f t="shared" si="46"/>
        <v>1.93</v>
      </c>
      <c r="Q275" s="5">
        <f t="shared" si="46"/>
        <v>1.68</v>
      </c>
      <c r="R275" s="5">
        <f t="shared" si="46"/>
        <v>1.35</v>
      </c>
      <c r="S275" s="5">
        <f t="shared" si="45"/>
        <v>1.24</v>
      </c>
      <c r="T275" s="5">
        <f t="shared" si="45"/>
        <v>1.01</v>
      </c>
      <c r="U275" s="5">
        <f t="shared" si="45"/>
        <v>0.78</v>
      </c>
      <c r="V275" s="5">
        <f t="shared" si="45"/>
        <v>0.73</v>
      </c>
      <c r="W275" s="5">
        <f t="shared" si="45"/>
        <v>0.6</v>
      </c>
      <c r="X275" s="5">
        <f t="shared" si="45"/>
        <v>0.54</v>
      </c>
      <c r="Y275" s="5">
        <f t="shared" si="45"/>
        <v>0.47</v>
      </c>
      <c r="Z275" s="5">
        <f t="shared" si="45"/>
        <v>0.46</v>
      </c>
      <c r="AA275" s="5">
        <f t="shared" si="45"/>
        <v>0.42</v>
      </c>
      <c r="AB275" s="5">
        <f t="shared" si="45"/>
        <v>0.38</v>
      </c>
      <c r="AC275" s="5">
        <f t="shared" si="45"/>
        <v>0.34</v>
      </c>
      <c r="AD275" s="5">
        <f t="shared" si="45"/>
        <v>0.33</v>
      </c>
      <c r="AE275" s="5">
        <f t="shared" si="45"/>
        <v>0.31</v>
      </c>
      <c r="AF275" s="5">
        <f t="shared" si="45"/>
        <v>0.29</v>
      </c>
      <c r="AG275" s="5">
        <f t="shared" si="45"/>
        <v>0.28</v>
      </c>
      <c r="AH275" s="5">
        <f t="shared" ref="AH275:AJ303" si="47">MROUND((($B275-$AJ$2)*((AH$2-$AJ$2)/($B$2-$AJ$2)))+$AJ$2,0.01)</f>
        <v>0.24</v>
      </c>
      <c r="AI275" s="5">
        <f t="shared" si="47"/>
        <v>0.21</v>
      </c>
      <c r="AJ275" s="5">
        <f t="shared" si="47"/>
        <v>0.2</v>
      </c>
    </row>
    <row r="276" spans="1:36">
      <c r="A276" t="str">
        <f>"casthouse_procurement_archetype_"&amp;TEXT(ROUND(Table21319[[#This Row],[2016]],1),"0.0")</f>
        <v>casthouse_procurement_archetype_2.9</v>
      </c>
      <c r="B276" s="5">
        <f t="shared" si="44"/>
        <v>2.9</v>
      </c>
      <c r="C276" s="5">
        <f t="shared" si="46"/>
        <v>2.9</v>
      </c>
      <c r="D276" s="5">
        <f t="shared" si="46"/>
        <v>2.9</v>
      </c>
      <c r="E276" s="5">
        <f t="shared" si="46"/>
        <v>2.83</v>
      </c>
      <c r="F276" s="5">
        <f t="shared" si="46"/>
        <v>2.67</v>
      </c>
      <c r="G276" s="5">
        <f t="shared" si="46"/>
        <v>2.7</v>
      </c>
      <c r="H276" s="5">
        <f t="shared" si="46"/>
        <v>2.63</v>
      </c>
      <c r="I276" s="5">
        <f t="shared" si="46"/>
        <v>2.49</v>
      </c>
      <c r="J276" s="5">
        <f t="shared" si="46"/>
        <v>2.42</v>
      </c>
      <c r="K276" s="5">
        <f t="shared" si="46"/>
        <v>2.34</v>
      </c>
      <c r="L276" s="5">
        <f t="shared" si="46"/>
        <v>2.21</v>
      </c>
      <c r="M276" s="5">
        <f t="shared" si="46"/>
        <v>2.2</v>
      </c>
      <c r="N276" s="5">
        <f t="shared" si="46"/>
        <v>2.1</v>
      </c>
      <c r="O276" s="5">
        <f t="shared" si="46"/>
        <v>1.99</v>
      </c>
      <c r="P276" s="5">
        <f t="shared" si="46"/>
        <v>1.87</v>
      </c>
      <c r="Q276" s="5">
        <f t="shared" si="46"/>
        <v>1.63</v>
      </c>
      <c r="R276" s="5">
        <f t="shared" si="46"/>
        <v>1.31</v>
      </c>
      <c r="S276" s="5">
        <f t="shared" si="45"/>
        <v>1.21</v>
      </c>
      <c r="T276" s="5">
        <f t="shared" si="45"/>
        <v>0.98</v>
      </c>
      <c r="U276" s="5">
        <f t="shared" si="45"/>
        <v>0.76</v>
      </c>
      <c r="V276" s="5">
        <f t="shared" si="45"/>
        <v>0.71</v>
      </c>
      <c r="W276" s="5">
        <f t="shared" si="45"/>
        <v>0.59</v>
      </c>
      <c r="X276" s="5">
        <f t="shared" si="45"/>
        <v>0.52</v>
      </c>
      <c r="Y276" s="5">
        <f t="shared" si="45"/>
        <v>0.46</v>
      </c>
      <c r="Z276" s="5">
        <f t="shared" si="45"/>
        <v>0.45</v>
      </c>
      <c r="AA276" s="5">
        <f t="shared" si="45"/>
        <v>0.42</v>
      </c>
      <c r="AB276" s="5">
        <f t="shared" si="45"/>
        <v>0.37</v>
      </c>
      <c r="AC276" s="5">
        <f t="shared" si="45"/>
        <v>0.34</v>
      </c>
      <c r="AD276" s="5">
        <f t="shared" si="45"/>
        <v>0.33</v>
      </c>
      <c r="AE276" s="5">
        <f t="shared" si="45"/>
        <v>0.3</v>
      </c>
      <c r="AF276" s="5">
        <f t="shared" si="45"/>
        <v>0.29</v>
      </c>
      <c r="AG276" s="5">
        <f t="shared" si="45"/>
        <v>0.28</v>
      </c>
      <c r="AH276" s="5">
        <f t="shared" si="47"/>
        <v>0.24</v>
      </c>
      <c r="AI276" s="5">
        <f t="shared" si="47"/>
        <v>0.21</v>
      </c>
      <c r="AJ276" s="5">
        <f t="shared" si="47"/>
        <v>0.2</v>
      </c>
    </row>
    <row r="277" spans="1:36">
      <c r="A277" t="str">
        <f>"casthouse_procurement_archetype_"&amp;TEXT(ROUND(Table21319[[#This Row],[2016]],1),"0.0")</f>
        <v>casthouse_procurement_archetype_2.8</v>
      </c>
      <c r="B277" s="5">
        <f t="shared" si="44"/>
        <v>2.8</v>
      </c>
      <c r="C277" s="5">
        <f t="shared" si="46"/>
        <v>2.8</v>
      </c>
      <c r="D277" s="5">
        <f t="shared" si="46"/>
        <v>2.8</v>
      </c>
      <c r="E277" s="5">
        <f t="shared" si="46"/>
        <v>2.74</v>
      </c>
      <c r="F277" s="5">
        <f t="shared" si="46"/>
        <v>2.58</v>
      </c>
      <c r="G277" s="5">
        <f t="shared" si="46"/>
        <v>2.6</v>
      </c>
      <c r="H277" s="5">
        <f t="shared" si="46"/>
        <v>2.54</v>
      </c>
      <c r="I277" s="5">
        <f t="shared" si="46"/>
        <v>2.41</v>
      </c>
      <c r="J277" s="5">
        <f t="shared" si="46"/>
        <v>2.33</v>
      </c>
      <c r="K277" s="5">
        <f t="shared" si="46"/>
        <v>2.26</v>
      </c>
      <c r="L277" s="5">
        <f t="shared" si="46"/>
        <v>2.14</v>
      </c>
      <c r="M277" s="5">
        <f t="shared" si="46"/>
        <v>2.13</v>
      </c>
      <c r="N277" s="5">
        <f t="shared" si="46"/>
        <v>2.03</v>
      </c>
      <c r="O277" s="5">
        <f t="shared" si="46"/>
        <v>1.93</v>
      </c>
      <c r="P277" s="5">
        <f t="shared" si="46"/>
        <v>1.81</v>
      </c>
      <c r="Q277" s="5">
        <f t="shared" si="46"/>
        <v>1.58</v>
      </c>
      <c r="R277" s="5">
        <f t="shared" si="46"/>
        <v>1.27</v>
      </c>
      <c r="S277" s="5">
        <f t="shared" si="45"/>
        <v>1.17</v>
      </c>
      <c r="T277" s="5">
        <f t="shared" si="45"/>
        <v>0.95</v>
      </c>
      <c r="U277" s="5">
        <f t="shared" si="45"/>
        <v>0.73</v>
      </c>
      <c r="V277" s="5">
        <f t="shared" si="45"/>
        <v>0.69</v>
      </c>
      <c r="W277" s="5">
        <f t="shared" si="45"/>
        <v>0.57</v>
      </c>
      <c r="X277" s="5">
        <f t="shared" si="45"/>
        <v>0.51</v>
      </c>
      <c r="Y277" s="5">
        <f t="shared" si="45"/>
        <v>0.45</v>
      </c>
      <c r="Z277" s="5">
        <f t="shared" si="45"/>
        <v>0.44</v>
      </c>
      <c r="AA277" s="5">
        <f t="shared" si="45"/>
        <v>0.41</v>
      </c>
      <c r="AB277" s="5">
        <f t="shared" si="45"/>
        <v>0.37</v>
      </c>
      <c r="AC277" s="5">
        <f t="shared" si="45"/>
        <v>0.33</v>
      </c>
      <c r="AD277" s="5">
        <f t="shared" si="45"/>
        <v>0.32</v>
      </c>
      <c r="AE277" s="5">
        <f t="shared" si="45"/>
        <v>0.3</v>
      </c>
      <c r="AF277" s="5">
        <f t="shared" si="45"/>
        <v>0.29</v>
      </c>
      <c r="AG277" s="5">
        <f t="shared" si="45"/>
        <v>0.28</v>
      </c>
      <c r="AH277" s="5">
        <f t="shared" si="47"/>
        <v>0.23</v>
      </c>
      <c r="AI277" s="5">
        <f t="shared" si="47"/>
        <v>0.21</v>
      </c>
      <c r="AJ277" s="5">
        <f t="shared" si="47"/>
        <v>0.2</v>
      </c>
    </row>
    <row r="278" spans="1:36">
      <c r="A278" t="str">
        <f>"casthouse_procurement_archetype_"&amp;TEXT(ROUND(Table21319[[#This Row],[2016]],1),"0.0")</f>
        <v>casthouse_procurement_archetype_2.7</v>
      </c>
      <c r="B278" s="5">
        <f t="shared" si="44"/>
        <v>2.7</v>
      </c>
      <c r="C278" s="5">
        <f t="shared" si="46"/>
        <v>2.7</v>
      </c>
      <c r="D278" s="5">
        <f t="shared" si="46"/>
        <v>2.7</v>
      </c>
      <c r="E278" s="5">
        <f t="shared" si="46"/>
        <v>2.64</v>
      </c>
      <c r="F278" s="5">
        <f t="shared" si="46"/>
        <v>2.49</v>
      </c>
      <c r="G278" s="5">
        <f t="shared" si="46"/>
        <v>2.51</v>
      </c>
      <c r="H278" s="5">
        <f t="shared" si="46"/>
        <v>2.45</v>
      </c>
      <c r="I278" s="5">
        <f t="shared" si="46"/>
        <v>2.32</v>
      </c>
      <c r="J278" s="5">
        <f t="shared" si="46"/>
        <v>2.25</v>
      </c>
      <c r="K278" s="5">
        <f t="shared" si="46"/>
        <v>2.18</v>
      </c>
      <c r="L278" s="5">
        <f t="shared" si="46"/>
        <v>2.07</v>
      </c>
      <c r="M278" s="5">
        <f t="shared" si="46"/>
        <v>2.05</v>
      </c>
      <c r="N278" s="5">
        <f t="shared" si="46"/>
        <v>1.96</v>
      </c>
      <c r="O278" s="5">
        <f t="shared" si="46"/>
        <v>1.86</v>
      </c>
      <c r="P278" s="5">
        <f t="shared" si="46"/>
        <v>1.75</v>
      </c>
      <c r="Q278" s="5">
        <f t="shared" si="46"/>
        <v>1.53</v>
      </c>
      <c r="R278" s="5">
        <f t="shared" si="46"/>
        <v>1.23</v>
      </c>
      <c r="S278" s="5">
        <f t="shared" si="45"/>
        <v>1.13</v>
      </c>
      <c r="T278" s="5">
        <f t="shared" si="45"/>
        <v>0.92</v>
      </c>
      <c r="U278" s="5">
        <f t="shared" si="45"/>
        <v>0.71</v>
      </c>
      <c r="V278" s="5">
        <f t="shared" si="45"/>
        <v>0.68</v>
      </c>
      <c r="W278" s="5">
        <f t="shared" si="45"/>
        <v>0.56</v>
      </c>
      <c r="X278" s="5">
        <f t="shared" si="45"/>
        <v>0.5</v>
      </c>
      <c r="Y278" s="5">
        <f t="shared" si="45"/>
        <v>0.44</v>
      </c>
      <c r="Z278" s="5">
        <f t="shared" si="45"/>
        <v>0.43</v>
      </c>
      <c r="AA278" s="5">
        <f t="shared" si="45"/>
        <v>0.4</v>
      </c>
      <c r="AB278" s="5">
        <f t="shared" si="45"/>
        <v>0.36</v>
      </c>
      <c r="AC278" s="5">
        <f t="shared" si="45"/>
        <v>0.33</v>
      </c>
      <c r="AD278" s="5">
        <f t="shared" si="45"/>
        <v>0.32</v>
      </c>
      <c r="AE278" s="5">
        <f t="shared" si="45"/>
        <v>0.3</v>
      </c>
      <c r="AF278" s="5">
        <f t="shared" si="45"/>
        <v>0.28</v>
      </c>
      <c r="AG278" s="5">
        <f t="shared" si="45"/>
        <v>0.27</v>
      </c>
      <c r="AH278" s="5">
        <f t="shared" si="47"/>
        <v>0.23</v>
      </c>
      <c r="AI278" s="5">
        <f t="shared" si="47"/>
        <v>0.21</v>
      </c>
      <c r="AJ278" s="5">
        <f t="shared" si="47"/>
        <v>0.2</v>
      </c>
    </row>
    <row r="279" spans="1:36">
      <c r="A279" t="str">
        <f>"casthouse_procurement_archetype_"&amp;TEXT(ROUND(Table21319[[#This Row],[2016]],1),"0.0")</f>
        <v>casthouse_procurement_archetype_2.6</v>
      </c>
      <c r="B279" s="5">
        <f t="shared" si="44"/>
        <v>2.6</v>
      </c>
      <c r="C279" s="5">
        <f t="shared" si="46"/>
        <v>2.6</v>
      </c>
      <c r="D279" s="5">
        <f t="shared" si="46"/>
        <v>2.6</v>
      </c>
      <c r="E279" s="5">
        <f t="shared" si="46"/>
        <v>2.54</v>
      </c>
      <c r="F279" s="5">
        <f t="shared" si="46"/>
        <v>2.4</v>
      </c>
      <c r="G279" s="5">
        <f t="shared" si="46"/>
        <v>2.42</v>
      </c>
      <c r="H279" s="5">
        <f t="shared" si="46"/>
        <v>2.36</v>
      </c>
      <c r="I279" s="5">
        <f t="shared" si="46"/>
        <v>2.24</v>
      </c>
      <c r="J279" s="5">
        <f t="shared" si="46"/>
        <v>2.17</v>
      </c>
      <c r="K279" s="5">
        <f t="shared" si="46"/>
        <v>2.1</v>
      </c>
      <c r="L279" s="5">
        <f t="shared" si="46"/>
        <v>1.99</v>
      </c>
      <c r="M279" s="5">
        <f t="shared" si="46"/>
        <v>1.98</v>
      </c>
      <c r="N279" s="5">
        <f t="shared" si="46"/>
        <v>1.89</v>
      </c>
      <c r="O279" s="5">
        <f t="shared" si="46"/>
        <v>1.8</v>
      </c>
      <c r="P279" s="5">
        <f t="shared" si="46"/>
        <v>1.69</v>
      </c>
      <c r="Q279" s="5">
        <f t="shared" si="46"/>
        <v>1.47</v>
      </c>
      <c r="R279" s="5">
        <f t="shared" si="46"/>
        <v>1.19</v>
      </c>
      <c r="S279" s="5">
        <f t="shared" si="45"/>
        <v>1.09</v>
      </c>
      <c r="T279" s="5">
        <f t="shared" si="45"/>
        <v>0.89</v>
      </c>
      <c r="U279" s="5">
        <f t="shared" si="45"/>
        <v>0.69</v>
      </c>
      <c r="V279" s="5">
        <f t="shared" si="45"/>
        <v>0.66</v>
      </c>
      <c r="W279" s="5">
        <f t="shared" si="45"/>
        <v>0.54</v>
      </c>
      <c r="X279" s="5">
        <f t="shared" si="45"/>
        <v>0.49</v>
      </c>
      <c r="Y279" s="5">
        <f t="shared" si="45"/>
        <v>0.43</v>
      </c>
      <c r="Z279" s="5">
        <f t="shared" si="45"/>
        <v>0.42</v>
      </c>
      <c r="AA279" s="5">
        <f t="shared" si="45"/>
        <v>0.39</v>
      </c>
      <c r="AB279" s="5">
        <f t="shared" si="45"/>
        <v>0.35</v>
      </c>
      <c r="AC279" s="5">
        <f t="shared" si="45"/>
        <v>0.32</v>
      </c>
      <c r="AD279" s="5">
        <f t="shared" si="45"/>
        <v>0.31</v>
      </c>
      <c r="AE279" s="5">
        <f t="shared" si="45"/>
        <v>0.29</v>
      </c>
      <c r="AF279" s="5">
        <f t="shared" si="45"/>
        <v>0.28</v>
      </c>
      <c r="AG279" s="5">
        <f t="shared" si="45"/>
        <v>0.27</v>
      </c>
      <c r="AH279" s="5">
        <f t="shared" si="47"/>
        <v>0.23</v>
      </c>
      <c r="AI279" s="5">
        <f t="shared" si="47"/>
        <v>0.21</v>
      </c>
      <c r="AJ279" s="5">
        <f t="shared" si="47"/>
        <v>0.2</v>
      </c>
    </row>
    <row r="280" spans="1:36">
      <c r="A280" t="str">
        <f>"casthouse_procurement_archetype_"&amp;TEXT(ROUND(Table21319[[#This Row],[2016]],1),"0.0")</f>
        <v>casthouse_procurement_archetype_2.5</v>
      </c>
      <c r="B280" s="5">
        <f t="shared" si="44"/>
        <v>2.5</v>
      </c>
      <c r="C280" s="5">
        <f t="shared" si="46"/>
        <v>2.5</v>
      </c>
      <c r="D280" s="5">
        <f t="shared" si="46"/>
        <v>2.5</v>
      </c>
      <c r="E280" s="5">
        <f t="shared" si="46"/>
        <v>2.44</v>
      </c>
      <c r="F280" s="5">
        <f t="shared" si="46"/>
        <v>2.31</v>
      </c>
      <c r="G280" s="5">
        <f t="shared" si="46"/>
        <v>2.33</v>
      </c>
      <c r="H280" s="5">
        <f t="shared" si="46"/>
        <v>2.27</v>
      </c>
      <c r="I280" s="5">
        <f t="shared" si="46"/>
        <v>2.15</v>
      </c>
      <c r="J280" s="5">
        <f t="shared" si="46"/>
        <v>2.09</v>
      </c>
      <c r="K280" s="5">
        <f t="shared" si="46"/>
        <v>2.02</v>
      </c>
      <c r="L280" s="5">
        <f t="shared" si="46"/>
        <v>1.92</v>
      </c>
      <c r="M280" s="5">
        <f t="shared" si="46"/>
        <v>1.9</v>
      </c>
      <c r="N280" s="5">
        <f t="shared" si="46"/>
        <v>1.82</v>
      </c>
      <c r="O280" s="5">
        <f t="shared" si="46"/>
        <v>1.73</v>
      </c>
      <c r="P280" s="5">
        <f t="shared" si="46"/>
        <v>1.62</v>
      </c>
      <c r="Q280" s="5">
        <f t="shared" si="46"/>
        <v>1.42</v>
      </c>
      <c r="R280" s="5">
        <f t="shared" si="46"/>
        <v>1.14</v>
      </c>
      <c r="S280" s="5">
        <f t="shared" si="45"/>
        <v>1.06</v>
      </c>
      <c r="T280" s="5">
        <f t="shared" si="45"/>
        <v>0.87</v>
      </c>
      <c r="U280" s="5">
        <f t="shared" si="45"/>
        <v>0.67</v>
      </c>
      <c r="V280" s="5">
        <f t="shared" si="45"/>
        <v>0.64</v>
      </c>
      <c r="W280" s="5">
        <f t="shared" si="45"/>
        <v>0.53</v>
      </c>
      <c r="X280" s="5">
        <f t="shared" si="45"/>
        <v>0.48</v>
      </c>
      <c r="Y280" s="5">
        <f t="shared" si="45"/>
        <v>0.42</v>
      </c>
      <c r="Z280" s="5">
        <f t="shared" si="45"/>
        <v>0.41</v>
      </c>
      <c r="AA280" s="5">
        <f t="shared" si="45"/>
        <v>0.38</v>
      </c>
      <c r="AB280" s="5">
        <f t="shared" si="45"/>
        <v>0.35</v>
      </c>
      <c r="AC280" s="5">
        <f t="shared" si="45"/>
        <v>0.32</v>
      </c>
      <c r="AD280" s="5">
        <f t="shared" si="45"/>
        <v>0.31</v>
      </c>
      <c r="AE280" s="5">
        <f t="shared" si="45"/>
        <v>0.29</v>
      </c>
      <c r="AF280" s="5">
        <f t="shared" si="45"/>
        <v>0.28</v>
      </c>
      <c r="AG280" s="5">
        <f t="shared" si="45"/>
        <v>0.27</v>
      </c>
      <c r="AH280" s="5">
        <f t="shared" si="47"/>
        <v>0.23</v>
      </c>
      <c r="AI280" s="5">
        <f t="shared" si="47"/>
        <v>0.21</v>
      </c>
      <c r="AJ280" s="5">
        <f t="shared" si="47"/>
        <v>0.2</v>
      </c>
    </row>
    <row r="281" spans="1:36">
      <c r="A281" t="str">
        <f>"casthouse_procurement_archetype_"&amp;TEXT(ROUND(Table21319[[#This Row],[2016]],1),"0.0")</f>
        <v>casthouse_procurement_archetype_2.4</v>
      </c>
      <c r="B281" s="5">
        <f t="shared" si="44"/>
        <v>2.4</v>
      </c>
      <c r="C281" s="5">
        <f t="shared" si="46"/>
        <v>2.4</v>
      </c>
      <c r="D281" s="5">
        <f t="shared" si="46"/>
        <v>2.4</v>
      </c>
      <c r="E281" s="5">
        <f t="shared" si="46"/>
        <v>2.35</v>
      </c>
      <c r="F281" s="5">
        <f t="shared" si="46"/>
        <v>2.22</v>
      </c>
      <c r="G281" s="5">
        <f t="shared" si="46"/>
        <v>2.23</v>
      </c>
      <c r="H281" s="5">
        <f t="shared" si="46"/>
        <v>2.18</v>
      </c>
      <c r="I281" s="5">
        <f t="shared" si="46"/>
        <v>2.07</v>
      </c>
      <c r="J281" s="5">
        <f t="shared" si="46"/>
        <v>2.01</v>
      </c>
      <c r="K281" s="5">
        <f t="shared" si="46"/>
        <v>1.94</v>
      </c>
      <c r="L281" s="5">
        <f t="shared" si="46"/>
        <v>1.84</v>
      </c>
      <c r="M281" s="5">
        <f t="shared" si="46"/>
        <v>1.83</v>
      </c>
      <c r="N281" s="5">
        <f t="shared" si="46"/>
        <v>1.75</v>
      </c>
      <c r="O281" s="5">
        <f t="shared" si="46"/>
        <v>1.66</v>
      </c>
      <c r="P281" s="5">
        <f t="shared" si="46"/>
        <v>1.56</v>
      </c>
      <c r="Q281" s="5">
        <f t="shared" si="46"/>
        <v>1.37</v>
      </c>
      <c r="R281" s="5">
        <f t="shared" si="46"/>
        <v>1.1</v>
      </c>
      <c r="S281" s="5">
        <f t="shared" si="45"/>
        <v>1.02</v>
      </c>
      <c r="T281" s="5">
        <f t="shared" si="45"/>
        <v>0.84</v>
      </c>
      <c r="U281" s="5">
        <f t="shared" si="45"/>
        <v>0.65</v>
      </c>
      <c r="V281" s="5">
        <f t="shared" si="45"/>
        <v>0.62</v>
      </c>
      <c r="W281" s="5">
        <f t="shared" si="45"/>
        <v>0.52</v>
      </c>
      <c r="X281" s="5">
        <f t="shared" si="45"/>
        <v>0.46</v>
      </c>
      <c r="Y281" s="5">
        <f t="shared" si="45"/>
        <v>0.41</v>
      </c>
      <c r="Z281" s="5">
        <f t="shared" si="45"/>
        <v>0.4</v>
      </c>
      <c r="AA281" s="5">
        <f t="shared" si="45"/>
        <v>0.38</v>
      </c>
      <c r="AB281" s="5">
        <f t="shared" si="45"/>
        <v>0.34</v>
      </c>
      <c r="AC281" s="5">
        <f t="shared" si="45"/>
        <v>0.31</v>
      </c>
      <c r="AD281" s="5">
        <f t="shared" si="45"/>
        <v>0.31</v>
      </c>
      <c r="AE281" s="5">
        <f t="shared" si="45"/>
        <v>0.29</v>
      </c>
      <c r="AF281" s="5">
        <f t="shared" si="45"/>
        <v>0.27</v>
      </c>
      <c r="AG281" s="5">
        <f t="shared" si="45"/>
        <v>0.26</v>
      </c>
      <c r="AH281" s="5">
        <f t="shared" si="47"/>
        <v>0.23</v>
      </c>
      <c r="AI281" s="5">
        <f t="shared" si="47"/>
        <v>0.21</v>
      </c>
      <c r="AJ281" s="5">
        <f t="shared" si="47"/>
        <v>0.2</v>
      </c>
    </row>
    <row r="282" spans="1:36">
      <c r="A282" t="str">
        <f>"casthouse_procurement_archetype_"&amp;TEXT(ROUND(Table21319[[#This Row],[2016]],1),"0.0")</f>
        <v>casthouse_procurement_archetype_2.3</v>
      </c>
      <c r="B282" s="5">
        <f t="shared" si="44"/>
        <v>2.3</v>
      </c>
      <c r="C282" s="5">
        <f t="shared" si="46"/>
        <v>2.3</v>
      </c>
      <c r="D282" s="5">
        <f t="shared" si="46"/>
        <v>2.3</v>
      </c>
      <c r="E282" s="5">
        <f t="shared" si="46"/>
        <v>2.25</v>
      </c>
      <c r="F282" s="5">
        <f t="shared" si="46"/>
        <v>2.12</v>
      </c>
      <c r="G282" s="5">
        <f t="shared" si="46"/>
        <v>2.14</v>
      </c>
      <c r="H282" s="5">
        <f t="shared" si="46"/>
        <v>2.09</v>
      </c>
      <c r="I282" s="5">
        <f t="shared" si="46"/>
        <v>1.98</v>
      </c>
      <c r="J282" s="5">
        <f t="shared" si="46"/>
        <v>1.92</v>
      </c>
      <c r="K282" s="5">
        <f t="shared" si="46"/>
        <v>1.86</v>
      </c>
      <c r="L282" s="5">
        <f t="shared" si="46"/>
        <v>1.77</v>
      </c>
      <c r="M282" s="5">
        <f t="shared" si="46"/>
        <v>1.76</v>
      </c>
      <c r="N282" s="5">
        <f t="shared" si="46"/>
        <v>1.68</v>
      </c>
      <c r="O282" s="5">
        <f t="shared" si="46"/>
        <v>1.6</v>
      </c>
      <c r="P282" s="5">
        <f t="shared" si="46"/>
        <v>1.5</v>
      </c>
      <c r="Q282" s="5">
        <f t="shared" si="46"/>
        <v>1.31</v>
      </c>
      <c r="R282" s="5">
        <f t="shared" si="46"/>
        <v>1.06</v>
      </c>
      <c r="S282" s="5">
        <f t="shared" si="45"/>
        <v>0.98</v>
      </c>
      <c r="T282" s="5">
        <f t="shared" si="45"/>
        <v>0.81</v>
      </c>
      <c r="U282" s="5">
        <f t="shared" si="45"/>
        <v>0.63</v>
      </c>
      <c r="V282" s="5">
        <f t="shared" si="45"/>
        <v>0.6</v>
      </c>
      <c r="W282" s="5">
        <f t="shared" si="45"/>
        <v>0.5</v>
      </c>
      <c r="X282" s="5">
        <f t="shared" si="45"/>
        <v>0.45</v>
      </c>
      <c r="Y282" s="5">
        <f t="shared" si="45"/>
        <v>0.4</v>
      </c>
      <c r="Z282" s="5">
        <f t="shared" si="45"/>
        <v>0.39</v>
      </c>
      <c r="AA282" s="5">
        <f t="shared" si="45"/>
        <v>0.37</v>
      </c>
      <c r="AB282" s="5">
        <f t="shared" si="45"/>
        <v>0.33</v>
      </c>
      <c r="AC282" s="5">
        <f t="shared" si="45"/>
        <v>0.31</v>
      </c>
      <c r="AD282" s="5">
        <f t="shared" si="45"/>
        <v>0.3</v>
      </c>
      <c r="AE282" s="5">
        <f t="shared" si="45"/>
        <v>0.28</v>
      </c>
      <c r="AF282" s="5">
        <f t="shared" si="45"/>
        <v>0.27</v>
      </c>
      <c r="AG282" s="5">
        <f t="shared" si="45"/>
        <v>0.26</v>
      </c>
      <c r="AH282" s="5">
        <f t="shared" si="47"/>
        <v>0.23</v>
      </c>
      <c r="AI282" s="5">
        <f t="shared" si="47"/>
        <v>0.21</v>
      </c>
      <c r="AJ282" s="5">
        <f t="shared" si="47"/>
        <v>0.2</v>
      </c>
    </row>
    <row r="283" spans="1:36">
      <c r="A283" t="str">
        <f>"casthouse_procurement_archetype_"&amp;TEXT(ROUND(Table21319[[#This Row],[2016]],1),"0.0")</f>
        <v>casthouse_procurement_archetype_2.2</v>
      </c>
      <c r="B283" s="5">
        <f t="shared" si="44"/>
        <v>2.2</v>
      </c>
      <c r="C283" s="5">
        <f t="shared" si="46"/>
        <v>2.2</v>
      </c>
      <c r="D283" s="5">
        <f t="shared" si="46"/>
        <v>2.2</v>
      </c>
      <c r="E283" s="5">
        <f t="shared" si="46"/>
        <v>2.15</v>
      </c>
      <c r="F283" s="5">
        <f t="shared" si="46"/>
        <v>2.03</v>
      </c>
      <c r="G283" s="5">
        <f t="shared" si="46"/>
        <v>2.05</v>
      </c>
      <c r="H283" s="5">
        <f t="shared" si="46"/>
        <v>2</v>
      </c>
      <c r="I283" s="5">
        <f t="shared" si="46"/>
        <v>1.9</v>
      </c>
      <c r="J283" s="5">
        <f t="shared" si="46"/>
        <v>1.84</v>
      </c>
      <c r="K283" s="5">
        <f t="shared" si="46"/>
        <v>1.78</v>
      </c>
      <c r="L283" s="5">
        <f t="shared" si="46"/>
        <v>1.69</v>
      </c>
      <c r="M283" s="5">
        <f t="shared" si="46"/>
        <v>1.68</v>
      </c>
      <c r="N283" s="5">
        <f t="shared" si="46"/>
        <v>1.61</v>
      </c>
      <c r="O283" s="5">
        <f t="shared" si="46"/>
        <v>1.53</v>
      </c>
      <c r="P283" s="5">
        <f t="shared" si="46"/>
        <v>1.44</v>
      </c>
      <c r="Q283" s="5">
        <f t="shared" si="46"/>
        <v>1.26</v>
      </c>
      <c r="R283" s="5">
        <f t="shared" si="46"/>
        <v>1.02</v>
      </c>
      <c r="S283" s="5">
        <f t="shared" si="45"/>
        <v>0.94</v>
      </c>
      <c r="T283" s="5">
        <f t="shared" si="45"/>
        <v>0.78</v>
      </c>
      <c r="U283" s="5">
        <f t="shared" si="45"/>
        <v>0.61</v>
      </c>
      <c r="V283" s="5">
        <f t="shared" si="45"/>
        <v>0.58</v>
      </c>
      <c r="W283" s="5">
        <f t="shared" si="45"/>
        <v>0.49</v>
      </c>
      <c r="X283" s="5">
        <f t="shared" si="45"/>
        <v>0.44</v>
      </c>
      <c r="Y283" s="5">
        <f t="shared" si="45"/>
        <v>0.39</v>
      </c>
      <c r="Z283" s="5">
        <f t="shared" si="45"/>
        <v>0.38</v>
      </c>
      <c r="AA283" s="5">
        <f t="shared" si="45"/>
        <v>0.36</v>
      </c>
      <c r="AB283" s="5">
        <f t="shared" si="45"/>
        <v>0.33</v>
      </c>
      <c r="AC283" s="5">
        <f t="shared" si="45"/>
        <v>0.3</v>
      </c>
      <c r="AD283" s="5">
        <f t="shared" si="45"/>
        <v>0.3</v>
      </c>
      <c r="AE283" s="5">
        <f t="shared" si="45"/>
        <v>0.28</v>
      </c>
      <c r="AF283" s="5">
        <f t="shared" si="45"/>
        <v>0.27</v>
      </c>
      <c r="AG283" s="5">
        <f t="shared" si="45"/>
        <v>0.26</v>
      </c>
      <c r="AH283" s="5">
        <f t="shared" si="47"/>
        <v>0.23</v>
      </c>
      <c r="AI283" s="5">
        <f t="shared" si="47"/>
        <v>0.21</v>
      </c>
      <c r="AJ283" s="5">
        <f t="shared" si="47"/>
        <v>0.2</v>
      </c>
    </row>
    <row r="284" spans="1:36">
      <c r="A284" t="str">
        <f>"casthouse_procurement_archetype_"&amp;TEXT(ROUND(Table21319[[#This Row],[2016]],1),"0.0")</f>
        <v>casthouse_procurement_archetype_2.1</v>
      </c>
      <c r="B284" s="5">
        <f t="shared" si="44"/>
        <v>2.1</v>
      </c>
      <c r="C284" s="5">
        <f t="shared" si="46"/>
        <v>2.1</v>
      </c>
      <c r="D284" s="5">
        <f t="shared" si="46"/>
        <v>2.1</v>
      </c>
      <c r="E284" s="5">
        <f t="shared" si="46"/>
        <v>2.05</v>
      </c>
      <c r="F284" s="5">
        <f t="shared" si="46"/>
        <v>1.94</v>
      </c>
      <c r="G284" s="5">
        <f t="shared" si="46"/>
        <v>1.96</v>
      </c>
      <c r="H284" s="5">
        <f t="shared" si="46"/>
        <v>1.91</v>
      </c>
      <c r="I284" s="5">
        <f t="shared" si="46"/>
        <v>1.81</v>
      </c>
      <c r="J284" s="5">
        <f t="shared" si="46"/>
        <v>1.76</v>
      </c>
      <c r="K284" s="5">
        <f t="shared" si="46"/>
        <v>1.7</v>
      </c>
      <c r="L284" s="5">
        <f t="shared" si="46"/>
        <v>1.62</v>
      </c>
      <c r="M284" s="5">
        <f t="shared" si="46"/>
        <v>1.61</v>
      </c>
      <c r="N284" s="5">
        <f t="shared" si="46"/>
        <v>1.54</v>
      </c>
      <c r="O284" s="5">
        <f t="shared" si="46"/>
        <v>1.46</v>
      </c>
      <c r="P284" s="5">
        <f t="shared" si="46"/>
        <v>1.38</v>
      </c>
      <c r="Q284" s="5">
        <f t="shared" si="46"/>
        <v>1.21</v>
      </c>
      <c r="R284" s="5">
        <f t="shared" ref="R284:AG299" si="48">MROUND((($B284-$AJ$2)*((R$2-$AJ$2)/($B$2-$AJ$2)))+$AJ$2,0.01)</f>
        <v>0.98</v>
      </c>
      <c r="S284" s="5">
        <f t="shared" si="48"/>
        <v>0.91</v>
      </c>
      <c r="T284" s="5">
        <f t="shared" si="48"/>
        <v>0.75</v>
      </c>
      <c r="U284" s="5">
        <f t="shared" si="48"/>
        <v>0.59</v>
      </c>
      <c r="V284" s="5">
        <f t="shared" si="48"/>
        <v>0.56</v>
      </c>
      <c r="W284" s="5">
        <f t="shared" si="48"/>
        <v>0.47</v>
      </c>
      <c r="X284" s="5">
        <f t="shared" si="48"/>
        <v>0.43</v>
      </c>
      <c r="Y284" s="5">
        <f t="shared" si="48"/>
        <v>0.38</v>
      </c>
      <c r="Z284" s="5">
        <f t="shared" si="48"/>
        <v>0.37</v>
      </c>
      <c r="AA284" s="5">
        <f t="shared" si="48"/>
        <v>0.35</v>
      </c>
      <c r="AB284" s="5">
        <f t="shared" si="48"/>
        <v>0.32</v>
      </c>
      <c r="AC284" s="5">
        <f t="shared" si="48"/>
        <v>0.3</v>
      </c>
      <c r="AD284" s="5">
        <f t="shared" si="48"/>
        <v>0.29</v>
      </c>
      <c r="AE284" s="5">
        <f t="shared" si="48"/>
        <v>0.27</v>
      </c>
      <c r="AF284" s="5">
        <f t="shared" si="48"/>
        <v>0.26</v>
      </c>
      <c r="AG284" s="5">
        <f t="shared" si="48"/>
        <v>0.26</v>
      </c>
      <c r="AH284" s="5">
        <f t="shared" si="47"/>
        <v>0.23</v>
      </c>
      <c r="AI284" s="5">
        <f t="shared" si="47"/>
        <v>0.21</v>
      </c>
      <c r="AJ284" s="5">
        <f t="shared" si="47"/>
        <v>0.2</v>
      </c>
    </row>
    <row r="285" spans="1:36">
      <c r="A285" t="str">
        <f>"casthouse_procurement_archetype_"&amp;TEXT(ROUND(Table21319[[#This Row],[2016]],1),"0.0")</f>
        <v>casthouse_procurement_archetype_2.0</v>
      </c>
      <c r="B285" s="5">
        <f t="shared" si="44"/>
        <v>2</v>
      </c>
      <c r="C285" s="5">
        <f t="shared" ref="C285:R300" si="49">MROUND((($B285-$AJ$2)*((C$2-$AJ$2)/($B$2-$AJ$2)))+$AJ$2,0.01)</f>
        <v>2</v>
      </c>
      <c r="D285" s="5">
        <f t="shared" si="49"/>
        <v>2</v>
      </c>
      <c r="E285" s="5">
        <f t="shared" si="49"/>
        <v>1.96</v>
      </c>
      <c r="F285" s="5">
        <f t="shared" si="49"/>
        <v>1.85</v>
      </c>
      <c r="G285" s="5">
        <f t="shared" si="49"/>
        <v>1.86</v>
      </c>
      <c r="H285" s="5">
        <f t="shared" si="49"/>
        <v>1.82</v>
      </c>
      <c r="I285" s="5">
        <f t="shared" si="49"/>
        <v>1.73</v>
      </c>
      <c r="J285" s="5">
        <f t="shared" si="49"/>
        <v>1.68</v>
      </c>
      <c r="K285" s="5">
        <f t="shared" si="49"/>
        <v>1.63</v>
      </c>
      <c r="L285" s="5">
        <f t="shared" si="49"/>
        <v>1.54</v>
      </c>
      <c r="M285" s="5">
        <f t="shared" si="49"/>
        <v>1.53</v>
      </c>
      <c r="N285" s="5">
        <f t="shared" si="49"/>
        <v>1.47</v>
      </c>
      <c r="O285" s="5">
        <f t="shared" si="49"/>
        <v>1.4</v>
      </c>
      <c r="P285" s="5">
        <f t="shared" si="49"/>
        <v>1.31</v>
      </c>
      <c r="Q285" s="5">
        <f t="shared" si="49"/>
        <v>1.15</v>
      </c>
      <c r="R285" s="5">
        <f t="shared" si="49"/>
        <v>0.94</v>
      </c>
      <c r="S285" s="5">
        <f t="shared" si="48"/>
        <v>0.87</v>
      </c>
      <c r="T285" s="5">
        <f t="shared" si="48"/>
        <v>0.72</v>
      </c>
      <c r="U285" s="5">
        <f t="shared" si="48"/>
        <v>0.57</v>
      </c>
      <c r="V285" s="5">
        <f t="shared" si="48"/>
        <v>0.54</v>
      </c>
      <c r="W285" s="5">
        <f t="shared" si="48"/>
        <v>0.46</v>
      </c>
      <c r="X285" s="5">
        <f t="shared" si="48"/>
        <v>0.42</v>
      </c>
      <c r="Y285" s="5">
        <f t="shared" si="48"/>
        <v>0.37</v>
      </c>
      <c r="Z285" s="5">
        <f t="shared" si="48"/>
        <v>0.36</v>
      </c>
      <c r="AA285" s="5">
        <f t="shared" si="48"/>
        <v>0.34</v>
      </c>
      <c r="AB285" s="5">
        <f t="shared" si="48"/>
        <v>0.31</v>
      </c>
      <c r="AC285" s="5">
        <f t="shared" si="48"/>
        <v>0.29</v>
      </c>
      <c r="AD285" s="5">
        <f t="shared" si="48"/>
        <v>0.29</v>
      </c>
      <c r="AE285" s="5">
        <f t="shared" si="48"/>
        <v>0.27</v>
      </c>
      <c r="AF285" s="5">
        <f t="shared" si="48"/>
        <v>0.26</v>
      </c>
      <c r="AG285" s="5">
        <f t="shared" si="48"/>
        <v>0.25</v>
      </c>
      <c r="AH285" s="5">
        <f t="shared" si="47"/>
        <v>0.22</v>
      </c>
      <c r="AI285" s="5">
        <f t="shared" si="47"/>
        <v>0.21</v>
      </c>
      <c r="AJ285" s="5">
        <f t="shared" si="47"/>
        <v>0.2</v>
      </c>
    </row>
    <row r="286" spans="1:36">
      <c r="A286" t="str">
        <f>"casthouse_procurement_archetype_"&amp;TEXT(ROUND(Table21319[[#This Row],[2016]],1),"0.0")</f>
        <v>casthouse_procurement_archetype_1.9</v>
      </c>
      <c r="B286" s="5">
        <f t="shared" si="44"/>
        <v>1.9</v>
      </c>
      <c r="C286" s="5">
        <f t="shared" si="49"/>
        <v>1.9</v>
      </c>
      <c r="D286" s="5">
        <f t="shared" si="49"/>
        <v>1.9</v>
      </c>
      <c r="E286" s="5">
        <f t="shared" si="49"/>
        <v>1.86</v>
      </c>
      <c r="F286" s="5">
        <f t="shared" si="49"/>
        <v>1.76</v>
      </c>
      <c r="G286" s="5">
        <f t="shared" si="49"/>
        <v>1.77</v>
      </c>
      <c r="H286" s="5">
        <f t="shared" si="49"/>
        <v>1.73</v>
      </c>
      <c r="I286" s="5">
        <f t="shared" si="49"/>
        <v>1.64</v>
      </c>
      <c r="J286" s="5">
        <f t="shared" si="49"/>
        <v>1.59</v>
      </c>
      <c r="K286" s="5">
        <f t="shared" si="49"/>
        <v>1.55</v>
      </c>
      <c r="L286" s="5">
        <f t="shared" si="49"/>
        <v>1.47</v>
      </c>
      <c r="M286" s="5">
        <f t="shared" si="49"/>
        <v>1.46</v>
      </c>
      <c r="N286" s="5">
        <f t="shared" si="49"/>
        <v>1.4</v>
      </c>
      <c r="O286" s="5">
        <f t="shared" si="49"/>
        <v>1.33</v>
      </c>
      <c r="P286" s="5">
        <f t="shared" si="49"/>
        <v>1.25</v>
      </c>
      <c r="Q286" s="5">
        <f t="shared" si="49"/>
        <v>1.1</v>
      </c>
      <c r="R286" s="5">
        <f t="shared" si="49"/>
        <v>0.9</v>
      </c>
      <c r="S286" s="5">
        <f t="shared" si="48"/>
        <v>0.83</v>
      </c>
      <c r="T286" s="5">
        <f t="shared" si="48"/>
        <v>0.69</v>
      </c>
      <c r="U286" s="5">
        <f t="shared" si="48"/>
        <v>0.55</v>
      </c>
      <c r="V286" s="5">
        <f t="shared" si="48"/>
        <v>0.52</v>
      </c>
      <c r="W286" s="5">
        <f t="shared" si="48"/>
        <v>0.44</v>
      </c>
      <c r="X286" s="5">
        <f t="shared" si="48"/>
        <v>0.4</v>
      </c>
      <c r="Y286" s="5">
        <f t="shared" si="48"/>
        <v>0.36</v>
      </c>
      <c r="Z286" s="5">
        <f t="shared" si="48"/>
        <v>0.36</v>
      </c>
      <c r="AA286" s="5">
        <f t="shared" si="48"/>
        <v>0.34</v>
      </c>
      <c r="AB286" s="5">
        <f t="shared" si="48"/>
        <v>0.31</v>
      </c>
      <c r="AC286" s="5">
        <f t="shared" si="48"/>
        <v>0.29</v>
      </c>
      <c r="AD286" s="5">
        <f t="shared" si="48"/>
        <v>0.28</v>
      </c>
      <c r="AE286" s="5">
        <f t="shared" si="48"/>
        <v>0.27</v>
      </c>
      <c r="AF286" s="5">
        <f t="shared" si="48"/>
        <v>0.26</v>
      </c>
      <c r="AG286" s="5">
        <f t="shared" si="48"/>
        <v>0.25</v>
      </c>
      <c r="AH286" s="5">
        <f t="shared" si="47"/>
        <v>0.22</v>
      </c>
      <c r="AI286" s="5">
        <f t="shared" si="47"/>
        <v>0.21</v>
      </c>
      <c r="AJ286" s="5">
        <f t="shared" si="47"/>
        <v>0.2</v>
      </c>
    </row>
    <row r="287" spans="1:36">
      <c r="A287" t="str">
        <f>"casthouse_procurement_archetype_"&amp;TEXT(ROUND(Table21319[[#This Row],[2016]],1),"0.0")</f>
        <v>casthouse_procurement_archetype_1.8</v>
      </c>
      <c r="B287" s="5">
        <f t="shared" si="44"/>
        <v>1.8</v>
      </c>
      <c r="C287" s="5">
        <f t="shared" si="49"/>
        <v>1.8</v>
      </c>
      <c r="D287" s="5">
        <f t="shared" si="49"/>
        <v>1.8</v>
      </c>
      <c r="E287" s="5">
        <f t="shared" si="49"/>
        <v>1.76</v>
      </c>
      <c r="F287" s="5">
        <f t="shared" si="49"/>
        <v>1.67</v>
      </c>
      <c r="G287" s="5">
        <f t="shared" si="49"/>
        <v>1.68</v>
      </c>
      <c r="H287" s="5">
        <f t="shared" si="49"/>
        <v>1.64</v>
      </c>
      <c r="I287" s="5">
        <f t="shared" si="49"/>
        <v>1.56</v>
      </c>
      <c r="J287" s="5">
        <f t="shared" si="49"/>
        <v>1.51</v>
      </c>
      <c r="K287" s="5">
        <f t="shared" si="49"/>
        <v>1.47</v>
      </c>
      <c r="L287" s="5">
        <f t="shared" si="49"/>
        <v>1.39</v>
      </c>
      <c r="M287" s="5">
        <f t="shared" si="49"/>
        <v>1.39</v>
      </c>
      <c r="N287" s="5">
        <f t="shared" si="49"/>
        <v>1.33</v>
      </c>
      <c r="O287" s="5">
        <f t="shared" si="49"/>
        <v>1.26</v>
      </c>
      <c r="P287" s="5">
        <f t="shared" si="49"/>
        <v>1.19</v>
      </c>
      <c r="Q287" s="5">
        <f t="shared" si="49"/>
        <v>1.05</v>
      </c>
      <c r="R287" s="5">
        <f t="shared" si="49"/>
        <v>0.86</v>
      </c>
      <c r="S287" s="5">
        <f t="shared" si="48"/>
        <v>0.8</v>
      </c>
      <c r="T287" s="5">
        <f t="shared" si="48"/>
        <v>0.66</v>
      </c>
      <c r="U287" s="5">
        <f t="shared" si="48"/>
        <v>0.53</v>
      </c>
      <c r="V287" s="5">
        <f t="shared" si="48"/>
        <v>0.5</v>
      </c>
      <c r="W287" s="5">
        <f t="shared" si="48"/>
        <v>0.43</v>
      </c>
      <c r="X287" s="5">
        <f t="shared" si="48"/>
        <v>0.39</v>
      </c>
      <c r="Y287" s="5">
        <f t="shared" si="48"/>
        <v>0.35</v>
      </c>
      <c r="Z287" s="5">
        <f t="shared" si="48"/>
        <v>0.35</v>
      </c>
      <c r="AA287" s="5">
        <f t="shared" si="48"/>
        <v>0.33</v>
      </c>
      <c r="AB287" s="5">
        <f t="shared" si="48"/>
        <v>0.3</v>
      </c>
      <c r="AC287" s="5">
        <f t="shared" si="48"/>
        <v>0.28</v>
      </c>
      <c r="AD287" s="5">
        <f t="shared" si="48"/>
        <v>0.28</v>
      </c>
      <c r="AE287" s="5">
        <f t="shared" si="48"/>
        <v>0.26</v>
      </c>
      <c r="AF287" s="5">
        <f t="shared" si="48"/>
        <v>0.25</v>
      </c>
      <c r="AG287" s="5">
        <f t="shared" si="48"/>
        <v>0.25</v>
      </c>
      <c r="AH287" s="5">
        <f t="shared" si="47"/>
        <v>0.22</v>
      </c>
      <c r="AI287" s="5">
        <f t="shared" si="47"/>
        <v>0.21</v>
      </c>
      <c r="AJ287" s="5">
        <f t="shared" si="47"/>
        <v>0.2</v>
      </c>
    </row>
    <row r="288" spans="1:36">
      <c r="A288" t="str">
        <f>"casthouse_procurement_archetype_"&amp;TEXT(ROUND(Table21319[[#This Row],[2016]],1),"0.0")</f>
        <v>casthouse_procurement_archetype_1.7</v>
      </c>
      <c r="B288" s="5">
        <f t="shared" si="44"/>
        <v>1.7</v>
      </c>
      <c r="C288" s="5">
        <f t="shared" si="49"/>
        <v>1.7</v>
      </c>
      <c r="D288" s="5">
        <f t="shared" si="49"/>
        <v>1.7</v>
      </c>
      <c r="E288" s="5">
        <f t="shared" si="49"/>
        <v>1.66</v>
      </c>
      <c r="F288" s="5">
        <f t="shared" si="49"/>
        <v>1.57</v>
      </c>
      <c r="G288" s="5">
        <f t="shared" si="49"/>
        <v>1.59</v>
      </c>
      <c r="H288" s="5">
        <f t="shared" si="49"/>
        <v>1.55</v>
      </c>
      <c r="I288" s="5">
        <f t="shared" si="49"/>
        <v>1.47</v>
      </c>
      <c r="J288" s="5">
        <f t="shared" si="49"/>
        <v>1.43</v>
      </c>
      <c r="K288" s="5">
        <f t="shared" si="49"/>
        <v>1.39</v>
      </c>
      <c r="L288" s="5">
        <f t="shared" si="49"/>
        <v>1.32</v>
      </c>
      <c r="M288" s="5">
        <f t="shared" si="49"/>
        <v>1.31</v>
      </c>
      <c r="N288" s="5">
        <f t="shared" si="49"/>
        <v>1.26</v>
      </c>
      <c r="O288" s="5">
        <f t="shared" si="49"/>
        <v>1.2</v>
      </c>
      <c r="P288" s="5">
        <f t="shared" si="49"/>
        <v>1.13</v>
      </c>
      <c r="Q288" s="5">
        <f t="shared" si="49"/>
        <v>1</v>
      </c>
      <c r="R288" s="5">
        <f t="shared" si="49"/>
        <v>0.82</v>
      </c>
      <c r="S288" s="5">
        <f t="shared" si="48"/>
        <v>0.76</v>
      </c>
      <c r="T288" s="5">
        <f t="shared" si="48"/>
        <v>0.63</v>
      </c>
      <c r="U288" s="5">
        <f t="shared" si="48"/>
        <v>0.51</v>
      </c>
      <c r="V288" s="5">
        <f t="shared" si="48"/>
        <v>0.49</v>
      </c>
      <c r="W288" s="5">
        <f t="shared" si="48"/>
        <v>0.42</v>
      </c>
      <c r="X288" s="5">
        <f t="shared" si="48"/>
        <v>0.38</v>
      </c>
      <c r="Y288" s="5">
        <f t="shared" si="48"/>
        <v>0.34</v>
      </c>
      <c r="Z288" s="5">
        <f t="shared" si="48"/>
        <v>0.34</v>
      </c>
      <c r="AA288" s="5">
        <f t="shared" si="48"/>
        <v>0.32</v>
      </c>
      <c r="AB288" s="5">
        <f t="shared" si="48"/>
        <v>0.3</v>
      </c>
      <c r="AC288" s="5">
        <f t="shared" si="48"/>
        <v>0.28</v>
      </c>
      <c r="AD288" s="5">
        <f t="shared" si="48"/>
        <v>0.27</v>
      </c>
      <c r="AE288" s="5">
        <f t="shared" si="48"/>
        <v>0.26</v>
      </c>
      <c r="AF288" s="5">
        <f t="shared" si="48"/>
        <v>0.25</v>
      </c>
      <c r="AG288" s="5">
        <f t="shared" si="48"/>
        <v>0.24</v>
      </c>
      <c r="AH288" s="5">
        <f t="shared" si="47"/>
        <v>0.22</v>
      </c>
      <c r="AI288" s="5">
        <f t="shared" si="47"/>
        <v>0.21</v>
      </c>
      <c r="AJ288" s="5">
        <f t="shared" si="47"/>
        <v>0.2</v>
      </c>
    </row>
    <row r="289" spans="1:36">
      <c r="A289" t="str">
        <f>"casthouse_procurement_archetype_"&amp;TEXT(ROUND(Table21319[[#This Row],[2016]],1),"0.0")</f>
        <v>casthouse_procurement_archetype_1.6</v>
      </c>
      <c r="B289" s="5">
        <f t="shared" si="44"/>
        <v>1.6</v>
      </c>
      <c r="C289" s="5">
        <f t="shared" si="49"/>
        <v>1.6</v>
      </c>
      <c r="D289" s="5">
        <f t="shared" si="49"/>
        <v>1.6</v>
      </c>
      <c r="E289" s="5">
        <f t="shared" si="49"/>
        <v>1.57</v>
      </c>
      <c r="F289" s="5">
        <f t="shared" si="49"/>
        <v>1.48</v>
      </c>
      <c r="G289" s="5">
        <f t="shared" si="49"/>
        <v>1.49</v>
      </c>
      <c r="H289" s="5">
        <f t="shared" si="49"/>
        <v>1.46</v>
      </c>
      <c r="I289" s="5">
        <f t="shared" si="49"/>
        <v>1.39</v>
      </c>
      <c r="J289" s="5">
        <f t="shared" si="49"/>
        <v>1.35</v>
      </c>
      <c r="K289" s="5">
        <f t="shared" si="49"/>
        <v>1.31</v>
      </c>
      <c r="L289" s="5">
        <f t="shared" si="49"/>
        <v>1.24</v>
      </c>
      <c r="M289" s="5">
        <f t="shared" si="49"/>
        <v>1.24</v>
      </c>
      <c r="N289" s="5">
        <f t="shared" si="49"/>
        <v>1.18</v>
      </c>
      <c r="O289" s="5">
        <f t="shared" si="49"/>
        <v>1.13</v>
      </c>
      <c r="P289" s="5">
        <f t="shared" si="49"/>
        <v>1.07</v>
      </c>
      <c r="Q289" s="5">
        <f t="shared" si="49"/>
        <v>0.94</v>
      </c>
      <c r="R289" s="5">
        <f t="shared" si="49"/>
        <v>0.77</v>
      </c>
      <c r="S289" s="5">
        <f t="shared" si="48"/>
        <v>0.72</v>
      </c>
      <c r="T289" s="5">
        <f t="shared" si="48"/>
        <v>0.61</v>
      </c>
      <c r="U289" s="5">
        <f t="shared" si="48"/>
        <v>0.49</v>
      </c>
      <c r="V289" s="5">
        <f t="shared" si="48"/>
        <v>0.47</v>
      </c>
      <c r="W289" s="5">
        <f t="shared" si="48"/>
        <v>0.4</v>
      </c>
      <c r="X289" s="5">
        <f t="shared" si="48"/>
        <v>0.37</v>
      </c>
      <c r="Y289" s="5">
        <f t="shared" si="48"/>
        <v>0.33</v>
      </c>
      <c r="Z289" s="5">
        <f t="shared" si="48"/>
        <v>0.33</v>
      </c>
      <c r="AA289" s="5">
        <f t="shared" si="48"/>
        <v>0.31</v>
      </c>
      <c r="AB289" s="5">
        <f t="shared" si="48"/>
        <v>0.29</v>
      </c>
      <c r="AC289" s="5">
        <f t="shared" si="48"/>
        <v>0.27</v>
      </c>
      <c r="AD289" s="5">
        <f t="shared" si="48"/>
        <v>0.27</v>
      </c>
      <c r="AE289" s="5">
        <f t="shared" si="48"/>
        <v>0.25</v>
      </c>
      <c r="AF289" s="5">
        <f t="shared" si="48"/>
        <v>0.25</v>
      </c>
      <c r="AG289" s="5">
        <f t="shared" si="48"/>
        <v>0.24</v>
      </c>
      <c r="AH289" s="5">
        <f t="shared" si="47"/>
        <v>0.22</v>
      </c>
      <c r="AI289" s="5">
        <f t="shared" si="47"/>
        <v>0.21</v>
      </c>
      <c r="AJ289" s="5">
        <f t="shared" si="47"/>
        <v>0.2</v>
      </c>
    </row>
    <row r="290" spans="1:36">
      <c r="A290" t="str">
        <f>"casthouse_procurement_archetype_"&amp;TEXT(ROUND(Table21319[[#This Row],[2016]],1),"0.0")</f>
        <v>casthouse_procurement_archetype_1.5</v>
      </c>
      <c r="B290" s="5">
        <f t="shared" si="44"/>
        <v>1.5</v>
      </c>
      <c r="C290" s="5">
        <f t="shared" si="49"/>
        <v>1.5</v>
      </c>
      <c r="D290" s="5">
        <f t="shared" si="49"/>
        <v>1.5</v>
      </c>
      <c r="E290" s="5">
        <f t="shared" si="49"/>
        <v>1.47</v>
      </c>
      <c r="F290" s="5">
        <f t="shared" si="49"/>
        <v>1.39</v>
      </c>
      <c r="G290" s="5">
        <f t="shared" si="49"/>
        <v>1.4</v>
      </c>
      <c r="H290" s="5">
        <f t="shared" si="49"/>
        <v>1.37</v>
      </c>
      <c r="I290" s="5">
        <f t="shared" si="49"/>
        <v>1.3</v>
      </c>
      <c r="J290" s="5">
        <f t="shared" si="49"/>
        <v>1.27</v>
      </c>
      <c r="K290" s="5">
        <f t="shared" si="49"/>
        <v>1.23</v>
      </c>
      <c r="L290" s="5">
        <f t="shared" si="49"/>
        <v>1.17</v>
      </c>
      <c r="M290" s="5">
        <f t="shared" si="49"/>
        <v>1.16</v>
      </c>
      <c r="N290" s="5">
        <f t="shared" si="49"/>
        <v>1.11</v>
      </c>
      <c r="O290" s="5">
        <f t="shared" si="49"/>
        <v>1.06</v>
      </c>
      <c r="P290" s="5">
        <f t="shared" si="49"/>
        <v>1</v>
      </c>
      <c r="Q290" s="5">
        <f t="shared" si="49"/>
        <v>0.89</v>
      </c>
      <c r="R290" s="5">
        <f t="shared" si="49"/>
        <v>0.73</v>
      </c>
      <c r="S290" s="5">
        <f t="shared" si="48"/>
        <v>0.68</v>
      </c>
      <c r="T290" s="5">
        <f t="shared" si="48"/>
        <v>0.58</v>
      </c>
      <c r="U290" s="5">
        <f t="shared" si="48"/>
        <v>0.47</v>
      </c>
      <c r="V290" s="5">
        <f t="shared" si="48"/>
        <v>0.45</v>
      </c>
      <c r="W290" s="5">
        <f t="shared" si="48"/>
        <v>0.39</v>
      </c>
      <c r="X290" s="5">
        <f t="shared" si="48"/>
        <v>0.36</v>
      </c>
      <c r="Y290" s="5">
        <f t="shared" si="48"/>
        <v>0.32</v>
      </c>
      <c r="Z290" s="5">
        <f t="shared" si="48"/>
        <v>0.32</v>
      </c>
      <c r="AA290" s="5">
        <f t="shared" si="48"/>
        <v>0.3</v>
      </c>
      <c r="AB290" s="5">
        <f t="shared" si="48"/>
        <v>0.28</v>
      </c>
      <c r="AC290" s="5">
        <f t="shared" si="48"/>
        <v>0.27</v>
      </c>
      <c r="AD290" s="5">
        <f t="shared" si="48"/>
        <v>0.26</v>
      </c>
      <c r="AE290" s="5">
        <f t="shared" si="48"/>
        <v>0.25</v>
      </c>
      <c r="AF290" s="5">
        <f t="shared" si="48"/>
        <v>0.24</v>
      </c>
      <c r="AG290" s="5">
        <f t="shared" si="48"/>
        <v>0.24</v>
      </c>
      <c r="AH290" s="5">
        <f t="shared" si="47"/>
        <v>0.22</v>
      </c>
      <c r="AI290" s="5">
        <f t="shared" si="47"/>
        <v>0.21</v>
      </c>
      <c r="AJ290" s="5">
        <f t="shared" si="47"/>
        <v>0.2</v>
      </c>
    </row>
    <row r="291" spans="1:36">
      <c r="A291" t="str">
        <f>"casthouse_procurement_archetype_"&amp;TEXT(ROUND(Table21319[[#This Row],[2016]],1),"0.0")</f>
        <v>casthouse_procurement_archetype_1.4</v>
      </c>
      <c r="B291" s="5">
        <f t="shared" si="44"/>
        <v>1.4</v>
      </c>
      <c r="C291" s="5">
        <f t="shared" si="49"/>
        <v>1.4</v>
      </c>
      <c r="D291" s="5">
        <f t="shared" si="49"/>
        <v>1.4</v>
      </c>
      <c r="E291" s="5">
        <f t="shared" si="49"/>
        <v>1.37</v>
      </c>
      <c r="F291" s="5">
        <f t="shared" si="49"/>
        <v>1.3</v>
      </c>
      <c r="G291" s="5">
        <f t="shared" si="49"/>
        <v>1.31</v>
      </c>
      <c r="H291" s="5">
        <f t="shared" si="49"/>
        <v>1.28</v>
      </c>
      <c r="I291" s="5">
        <f t="shared" si="49"/>
        <v>1.22</v>
      </c>
      <c r="J291" s="5">
        <f t="shared" si="49"/>
        <v>1.18</v>
      </c>
      <c r="K291" s="5">
        <f t="shared" si="49"/>
        <v>1.15</v>
      </c>
      <c r="L291" s="5">
        <f t="shared" si="49"/>
        <v>1.1</v>
      </c>
      <c r="M291" s="5">
        <f t="shared" si="49"/>
        <v>1.09</v>
      </c>
      <c r="N291" s="5">
        <f t="shared" si="49"/>
        <v>1.04</v>
      </c>
      <c r="O291" s="5">
        <f t="shared" si="49"/>
        <v>1</v>
      </c>
      <c r="P291" s="5">
        <f t="shared" si="49"/>
        <v>0.94</v>
      </c>
      <c r="Q291" s="5">
        <f t="shared" si="49"/>
        <v>0.84</v>
      </c>
      <c r="R291" s="5">
        <f t="shared" si="49"/>
        <v>0.69</v>
      </c>
      <c r="S291" s="5">
        <f t="shared" si="48"/>
        <v>0.65</v>
      </c>
      <c r="T291" s="5">
        <f t="shared" si="48"/>
        <v>0.55</v>
      </c>
      <c r="U291" s="5">
        <f t="shared" si="48"/>
        <v>0.45</v>
      </c>
      <c r="V291" s="5">
        <f t="shared" si="48"/>
        <v>0.43</v>
      </c>
      <c r="W291" s="5">
        <f t="shared" si="48"/>
        <v>0.37</v>
      </c>
      <c r="X291" s="5">
        <f t="shared" si="48"/>
        <v>0.34</v>
      </c>
      <c r="Y291" s="5">
        <f t="shared" si="48"/>
        <v>0.31</v>
      </c>
      <c r="Z291" s="5">
        <f t="shared" si="48"/>
        <v>0.31</v>
      </c>
      <c r="AA291" s="5">
        <f t="shared" si="48"/>
        <v>0.3</v>
      </c>
      <c r="AB291" s="5">
        <f t="shared" si="48"/>
        <v>0.28</v>
      </c>
      <c r="AC291" s="5">
        <f t="shared" si="48"/>
        <v>0.26</v>
      </c>
      <c r="AD291" s="5">
        <f t="shared" si="48"/>
        <v>0.26</v>
      </c>
      <c r="AE291" s="5">
        <f t="shared" si="48"/>
        <v>0.25</v>
      </c>
      <c r="AF291" s="5">
        <f t="shared" si="48"/>
        <v>0.24</v>
      </c>
      <c r="AG291" s="5">
        <f t="shared" si="48"/>
        <v>0.23</v>
      </c>
      <c r="AH291" s="5">
        <f t="shared" si="47"/>
        <v>0.22</v>
      </c>
      <c r="AI291" s="5">
        <f t="shared" si="47"/>
        <v>0.21</v>
      </c>
      <c r="AJ291" s="5">
        <f t="shared" si="47"/>
        <v>0.2</v>
      </c>
    </row>
    <row r="292" spans="1:36">
      <c r="A292" t="str">
        <f>"casthouse_procurement_archetype_"&amp;TEXT(ROUND(Table21319[[#This Row],[2016]],1),"0.0")</f>
        <v>casthouse_procurement_archetype_1.3</v>
      </c>
      <c r="B292" s="5">
        <f t="shared" si="44"/>
        <v>1.3</v>
      </c>
      <c r="C292" s="5">
        <f t="shared" si="49"/>
        <v>1.3</v>
      </c>
      <c r="D292" s="5">
        <f t="shared" si="49"/>
        <v>1.3</v>
      </c>
      <c r="E292" s="5">
        <f t="shared" si="49"/>
        <v>1.27</v>
      </c>
      <c r="F292" s="5">
        <f t="shared" si="49"/>
        <v>1.21</v>
      </c>
      <c r="G292" s="5">
        <f t="shared" si="49"/>
        <v>1.22</v>
      </c>
      <c r="H292" s="5">
        <f t="shared" si="49"/>
        <v>1.19</v>
      </c>
      <c r="I292" s="5">
        <f t="shared" si="49"/>
        <v>1.13</v>
      </c>
      <c r="J292" s="5">
        <f t="shared" si="49"/>
        <v>1.1</v>
      </c>
      <c r="K292" s="5">
        <f t="shared" si="49"/>
        <v>1.07</v>
      </c>
      <c r="L292" s="5">
        <f t="shared" si="49"/>
        <v>1.02</v>
      </c>
      <c r="M292" s="5">
        <f t="shared" si="49"/>
        <v>1.01</v>
      </c>
      <c r="N292" s="5">
        <f t="shared" si="49"/>
        <v>0.97</v>
      </c>
      <c r="O292" s="5">
        <f t="shared" si="49"/>
        <v>0.93</v>
      </c>
      <c r="P292" s="5">
        <f t="shared" si="49"/>
        <v>0.88</v>
      </c>
      <c r="Q292" s="5">
        <f t="shared" si="49"/>
        <v>0.78</v>
      </c>
      <c r="R292" s="5">
        <f t="shared" si="49"/>
        <v>0.65</v>
      </c>
      <c r="S292" s="5">
        <f t="shared" si="48"/>
        <v>0.61</v>
      </c>
      <c r="T292" s="5">
        <f t="shared" si="48"/>
        <v>0.52</v>
      </c>
      <c r="U292" s="5">
        <f t="shared" si="48"/>
        <v>0.43</v>
      </c>
      <c r="V292" s="5">
        <f t="shared" si="48"/>
        <v>0.41</v>
      </c>
      <c r="W292" s="5">
        <f t="shared" si="48"/>
        <v>0.36</v>
      </c>
      <c r="X292" s="5">
        <f t="shared" si="48"/>
        <v>0.33</v>
      </c>
      <c r="Y292" s="5">
        <f t="shared" si="48"/>
        <v>0.3</v>
      </c>
      <c r="Z292" s="5">
        <f t="shared" si="48"/>
        <v>0.3</v>
      </c>
      <c r="AA292" s="5">
        <f t="shared" si="48"/>
        <v>0.29</v>
      </c>
      <c r="AB292" s="5">
        <f t="shared" si="48"/>
        <v>0.27</v>
      </c>
      <c r="AC292" s="5">
        <f t="shared" si="48"/>
        <v>0.26</v>
      </c>
      <c r="AD292" s="5">
        <f t="shared" si="48"/>
        <v>0.25</v>
      </c>
      <c r="AE292" s="5">
        <f t="shared" si="48"/>
        <v>0.24</v>
      </c>
      <c r="AF292" s="5">
        <f t="shared" si="48"/>
        <v>0.24</v>
      </c>
      <c r="AG292" s="5">
        <f t="shared" si="48"/>
        <v>0.23</v>
      </c>
      <c r="AH292" s="5">
        <f t="shared" si="47"/>
        <v>0.21</v>
      </c>
      <c r="AI292" s="5">
        <f t="shared" si="47"/>
        <v>0.2</v>
      </c>
      <c r="AJ292" s="5">
        <f t="shared" si="47"/>
        <v>0.2</v>
      </c>
    </row>
    <row r="293" spans="1:36">
      <c r="A293" t="str">
        <f>"casthouse_procurement_archetype_"&amp;TEXT(ROUND(Table21319[[#This Row],[2016]],1),"0.0")</f>
        <v>casthouse_procurement_archetype_1.2</v>
      </c>
      <c r="B293" s="5">
        <f t="shared" si="44"/>
        <v>1.2</v>
      </c>
      <c r="C293" s="5">
        <f t="shared" si="49"/>
        <v>1.2</v>
      </c>
      <c r="D293" s="5">
        <f t="shared" si="49"/>
        <v>1.2</v>
      </c>
      <c r="E293" s="5">
        <f t="shared" si="49"/>
        <v>1.18</v>
      </c>
      <c r="F293" s="5">
        <f t="shared" si="49"/>
        <v>1.12</v>
      </c>
      <c r="G293" s="5">
        <f t="shared" si="49"/>
        <v>1.12</v>
      </c>
      <c r="H293" s="5">
        <f t="shared" si="49"/>
        <v>1.1</v>
      </c>
      <c r="I293" s="5">
        <f t="shared" si="49"/>
        <v>1.05</v>
      </c>
      <c r="J293" s="5">
        <f t="shared" si="49"/>
        <v>1.02</v>
      </c>
      <c r="K293" s="5">
        <f t="shared" si="49"/>
        <v>0.99</v>
      </c>
      <c r="L293" s="5">
        <f t="shared" si="49"/>
        <v>0.95</v>
      </c>
      <c r="M293" s="5">
        <f t="shared" si="49"/>
        <v>0.94</v>
      </c>
      <c r="N293" s="5">
        <f t="shared" si="49"/>
        <v>0.9</v>
      </c>
      <c r="O293" s="5">
        <f t="shared" si="49"/>
        <v>0.86</v>
      </c>
      <c r="P293" s="5">
        <f t="shared" si="49"/>
        <v>0.82</v>
      </c>
      <c r="Q293" s="5">
        <f t="shared" si="49"/>
        <v>0.73</v>
      </c>
      <c r="R293" s="5">
        <f t="shared" si="49"/>
        <v>0.61</v>
      </c>
      <c r="S293" s="5">
        <f t="shared" si="48"/>
        <v>0.57</v>
      </c>
      <c r="T293" s="5">
        <f t="shared" si="48"/>
        <v>0.49</v>
      </c>
      <c r="U293" s="5">
        <f t="shared" si="48"/>
        <v>0.41</v>
      </c>
      <c r="V293" s="5">
        <f t="shared" si="48"/>
        <v>0.39</v>
      </c>
      <c r="W293" s="5">
        <f t="shared" si="48"/>
        <v>0.34</v>
      </c>
      <c r="X293" s="5">
        <f t="shared" si="48"/>
        <v>0.32</v>
      </c>
      <c r="Y293" s="5">
        <f t="shared" si="48"/>
        <v>0.3</v>
      </c>
      <c r="Z293" s="5">
        <f t="shared" si="48"/>
        <v>0.29</v>
      </c>
      <c r="AA293" s="5">
        <f t="shared" si="48"/>
        <v>0.28</v>
      </c>
      <c r="AB293" s="5">
        <f t="shared" si="48"/>
        <v>0.26</v>
      </c>
      <c r="AC293" s="5">
        <f t="shared" si="48"/>
        <v>0.25</v>
      </c>
      <c r="AD293" s="5">
        <f t="shared" si="48"/>
        <v>0.25</v>
      </c>
      <c r="AE293" s="5">
        <f t="shared" si="48"/>
        <v>0.24</v>
      </c>
      <c r="AF293" s="5">
        <f t="shared" si="48"/>
        <v>0.23</v>
      </c>
      <c r="AG293" s="5">
        <f t="shared" si="48"/>
        <v>0.23</v>
      </c>
      <c r="AH293" s="5">
        <f t="shared" si="47"/>
        <v>0.21</v>
      </c>
      <c r="AI293" s="5">
        <f t="shared" si="47"/>
        <v>0.2</v>
      </c>
      <c r="AJ293" s="5">
        <f t="shared" si="47"/>
        <v>0.2</v>
      </c>
    </row>
    <row r="294" spans="1:36">
      <c r="A294" t="str">
        <f>"casthouse_procurement_archetype_"&amp;TEXT(ROUND(Table21319[[#This Row],[2016]],1),"0.0")</f>
        <v>casthouse_procurement_archetype_1.1</v>
      </c>
      <c r="B294" s="5">
        <f t="shared" si="44"/>
        <v>1.1</v>
      </c>
      <c r="C294" s="5">
        <f t="shared" si="49"/>
        <v>1.1</v>
      </c>
      <c r="D294" s="5">
        <f t="shared" si="49"/>
        <v>1.1</v>
      </c>
      <c r="E294" s="5">
        <f t="shared" si="49"/>
        <v>1.08</v>
      </c>
      <c r="F294" s="5">
        <f t="shared" si="49"/>
        <v>1.02</v>
      </c>
      <c r="G294" s="5">
        <f t="shared" si="49"/>
        <v>1.03</v>
      </c>
      <c r="H294" s="5">
        <f t="shared" si="49"/>
        <v>1.01</v>
      </c>
      <c r="I294" s="5">
        <f t="shared" si="49"/>
        <v>0.96</v>
      </c>
      <c r="J294" s="5">
        <f t="shared" si="49"/>
        <v>0.94</v>
      </c>
      <c r="K294" s="5">
        <f t="shared" si="49"/>
        <v>0.91</v>
      </c>
      <c r="L294" s="5">
        <f t="shared" si="49"/>
        <v>0.87</v>
      </c>
      <c r="M294" s="5">
        <f t="shared" si="49"/>
        <v>0.87</v>
      </c>
      <c r="N294" s="5">
        <f t="shared" si="49"/>
        <v>0.83</v>
      </c>
      <c r="O294" s="5">
        <f t="shared" si="49"/>
        <v>0.8</v>
      </c>
      <c r="P294" s="5">
        <f t="shared" si="49"/>
        <v>0.76</v>
      </c>
      <c r="Q294" s="5">
        <f t="shared" si="49"/>
        <v>0.68</v>
      </c>
      <c r="R294" s="5">
        <f t="shared" si="49"/>
        <v>0.57</v>
      </c>
      <c r="S294" s="5">
        <f t="shared" si="48"/>
        <v>0.54</v>
      </c>
      <c r="T294" s="5">
        <f t="shared" si="48"/>
        <v>0.46</v>
      </c>
      <c r="U294" s="5">
        <f t="shared" si="48"/>
        <v>0.39</v>
      </c>
      <c r="V294" s="5">
        <f t="shared" si="48"/>
        <v>0.37</v>
      </c>
      <c r="W294" s="5">
        <f t="shared" si="48"/>
        <v>0.33</v>
      </c>
      <c r="X294" s="5">
        <f t="shared" si="48"/>
        <v>0.31</v>
      </c>
      <c r="Y294" s="5">
        <f t="shared" si="48"/>
        <v>0.29</v>
      </c>
      <c r="Z294" s="5">
        <f t="shared" si="48"/>
        <v>0.28</v>
      </c>
      <c r="AA294" s="5">
        <f t="shared" si="48"/>
        <v>0.27</v>
      </c>
      <c r="AB294" s="5">
        <f t="shared" si="48"/>
        <v>0.26</v>
      </c>
      <c r="AC294" s="5">
        <f t="shared" si="48"/>
        <v>0.25</v>
      </c>
      <c r="AD294" s="5">
        <f t="shared" si="48"/>
        <v>0.24</v>
      </c>
      <c r="AE294" s="5">
        <f t="shared" si="48"/>
        <v>0.24</v>
      </c>
      <c r="AF294" s="5">
        <f t="shared" si="48"/>
        <v>0.23</v>
      </c>
      <c r="AG294" s="5">
        <f t="shared" si="48"/>
        <v>0.23</v>
      </c>
      <c r="AH294" s="5">
        <f t="shared" si="47"/>
        <v>0.21</v>
      </c>
      <c r="AI294" s="5">
        <f t="shared" si="47"/>
        <v>0.2</v>
      </c>
      <c r="AJ294" s="5">
        <f t="shared" si="47"/>
        <v>0.2</v>
      </c>
    </row>
    <row r="295" spans="1:36">
      <c r="A295" t="str">
        <f>"casthouse_procurement_archetype_"&amp;TEXT(ROUND(Table21319[[#This Row],[2016]],1),"0.0")</f>
        <v>casthouse_procurement_archetype_1.0</v>
      </c>
      <c r="B295" s="5">
        <f t="shared" si="44"/>
        <v>1</v>
      </c>
      <c r="C295" s="5">
        <f t="shared" si="49"/>
        <v>1</v>
      </c>
      <c r="D295" s="5">
        <f t="shared" si="49"/>
        <v>1</v>
      </c>
      <c r="E295" s="5">
        <f t="shared" si="49"/>
        <v>0.98</v>
      </c>
      <c r="F295" s="5">
        <f t="shared" si="49"/>
        <v>0.93</v>
      </c>
      <c r="G295" s="5">
        <f t="shared" si="49"/>
        <v>0.94</v>
      </c>
      <c r="H295" s="5">
        <f t="shared" si="49"/>
        <v>0.92</v>
      </c>
      <c r="I295" s="5">
        <f t="shared" si="49"/>
        <v>0.88</v>
      </c>
      <c r="J295" s="5">
        <f t="shared" si="49"/>
        <v>0.86</v>
      </c>
      <c r="K295" s="5">
        <f t="shared" si="49"/>
        <v>0.83</v>
      </c>
      <c r="L295" s="5">
        <f t="shared" si="49"/>
        <v>0.8</v>
      </c>
      <c r="M295" s="5">
        <f t="shared" si="49"/>
        <v>0.79</v>
      </c>
      <c r="N295" s="5">
        <f t="shared" si="49"/>
        <v>0.76</v>
      </c>
      <c r="O295" s="5">
        <f t="shared" si="49"/>
        <v>0.73</v>
      </c>
      <c r="P295" s="5">
        <f t="shared" si="49"/>
        <v>0.7</v>
      </c>
      <c r="Q295" s="5">
        <f t="shared" si="49"/>
        <v>0.62</v>
      </c>
      <c r="R295" s="5">
        <f t="shared" si="49"/>
        <v>0.53</v>
      </c>
      <c r="S295" s="5">
        <f t="shared" si="48"/>
        <v>0.5</v>
      </c>
      <c r="T295" s="5">
        <f t="shared" si="48"/>
        <v>0.43</v>
      </c>
      <c r="U295" s="5">
        <f t="shared" si="48"/>
        <v>0.36</v>
      </c>
      <c r="V295" s="5">
        <f t="shared" si="48"/>
        <v>0.35</v>
      </c>
      <c r="W295" s="5">
        <f t="shared" si="48"/>
        <v>0.31</v>
      </c>
      <c r="X295" s="5">
        <f t="shared" si="48"/>
        <v>0.3</v>
      </c>
      <c r="Y295" s="5">
        <f t="shared" si="48"/>
        <v>0.28</v>
      </c>
      <c r="Z295" s="5">
        <f t="shared" si="48"/>
        <v>0.27</v>
      </c>
      <c r="AA295" s="5">
        <f t="shared" si="48"/>
        <v>0.26</v>
      </c>
      <c r="AB295" s="5">
        <f t="shared" si="48"/>
        <v>0.25</v>
      </c>
      <c r="AC295" s="5">
        <f t="shared" si="48"/>
        <v>0.24</v>
      </c>
      <c r="AD295" s="5">
        <f t="shared" si="48"/>
        <v>0.24</v>
      </c>
      <c r="AE295" s="5">
        <f t="shared" si="48"/>
        <v>0.23</v>
      </c>
      <c r="AF295" s="5">
        <f t="shared" si="48"/>
        <v>0.23</v>
      </c>
      <c r="AG295" s="5">
        <f t="shared" si="48"/>
        <v>0.22</v>
      </c>
      <c r="AH295" s="5">
        <f t="shared" si="47"/>
        <v>0.21</v>
      </c>
      <c r="AI295" s="5">
        <f t="shared" si="47"/>
        <v>0.2</v>
      </c>
      <c r="AJ295" s="5">
        <f t="shared" si="47"/>
        <v>0.2</v>
      </c>
    </row>
    <row r="296" spans="1:36">
      <c r="A296" t="str">
        <f>"casthouse_procurement_archetype_"&amp;TEXT(ROUND(Table21319[[#This Row],[2016]],1),"0.0")</f>
        <v>casthouse_procurement_archetype_0.9</v>
      </c>
      <c r="B296" s="5">
        <f t="shared" si="44"/>
        <v>0.9</v>
      </c>
      <c r="C296" s="5">
        <f t="shared" si="49"/>
        <v>0.9</v>
      </c>
      <c r="D296" s="5">
        <f t="shared" si="49"/>
        <v>0.9</v>
      </c>
      <c r="E296" s="5">
        <f t="shared" si="49"/>
        <v>0.88</v>
      </c>
      <c r="F296" s="5">
        <f t="shared" si="49"/>
        <v>0.84</v>
      </c>
      <c r="G296" s="5">
        <f t="shared" si="49"/>
        <v>0.85</v>
      </c>
      <c r="H296" s="5">
        <f t="shared" si="49"/>
        <v>0.83</v>
      </c>
      <c r="I296" s="5">
        <f t="shared" si="49"/>
        <v>0.79</v>
      </c>
      <c r="J296" s="5">
        <f t="shared" si="49"/>
        <v>0.77</v>
      </c>
      <c r="K296" s="5">
        <f t="shared" si="49"/>
        <v>0.75</v>
      </c>
      <c r="L296" s="5">
        <f t="shared" si="49"/>
        <v>0.72</v>
      </c>
      <c r="M296" s="5">
        <f t="shared" si="49"/>
        <v>0.72</v>
      </c>
      <c r="N296" s="5">
        <f t="shared" si="49"/>
        <v>0.69</v>
      </c>
      <c r="O296" s="5">
        <f t="shared" si="49"/>
        <v>0.67</v>
      </c>
      <c r="P296" s="5">
        <f t="shared" si="49"/>
        <v>0.63</v>
      </c>
      <c r="Q296" s="5">
        <f t="shared" si="49"/>
        <v>0.57</v>
      </c>
      <c r="R296" s="5">
        <f t="shared" si="49"/>
        <v>0.49</v>
      </c>
      <c r="S296" s="5">
        <f t="shared" si="48"/>
        <v>0.46</v>
      </c>
      <c r="T296" s="5">
        <f t="shared" si="48"/>
        <v>0.4</v>
      </c>
      <c r="U296" s="5">
        <f t="shared" si="48"/>
        <v>0.34</v>
      </c>
      <c r="V296" s="5">
        <f t="shared" si="48"/>
        <v>0.33</v>
      </c>
      <c r="W296" s="5">
        <f t="shared" si="48"/>
        <v>0.3</v>
      </c>
      <c r="X296" s="5">
        <f t="shared" si="48"/>
        <v>0.28</v>
      </c>
      <c r="Y296" s="5">
        <f t="shared" si="48"/>
        <v>0.27</v>
      </c>
      <c r="Z296" s="5">
        <f t="shared" si="48"/>
        <v>0.26</v>
      </c>
      <c r="AA296" s="5">
        <f t="shared" si="48"/>
        <v>0.26</v>
      </c>
      <c r="AB296" s="5">
        <f t="shared" si="48"/>
        <v>0.24</v>
      </c>
      <c r="AC296" s="5">
        <f t="shared" si="48"/>
        <v>0.24</v>
      </c>
      <c r="AD296" s="5">
        <f t="shared" si="48"/>
        <v>0.23</v>
      </c>
      <c r="AE296" s="5">
        <f t="shared" si="48"/>
        <v>0.23</v>
      </c>
      <c r="AF296" s="5">
        <f t="shared" si="48"/>
        <v>0.22</v>
      </c>
      <c r="AG296" s="5">
        <f t="shared" si="48"/>
        <v>0.22</v>
      </c>
      <c r="AH296" s="5">
        <f t="shared" si="47"/>
        <v>0.21</v>
      </c>
      <c r="AI296" s="5">
        <f t="shared" si="47"/>
        <v>0.2</v>
      </c>
      <c r="AJ296" s="5">
        <f t="shared" si="47"/>
        <v>0.2</v>
      </c>
    </row>
    <row r="297" spans="1:36">
      <c r="A297" t="str">
        <f>"casthouse_procurement_archetype_"&amp;TEXT(ROUND(Table21319[[#This Row],[2016]],1),"0.0")</f>
        <v>casthouse_procurement_archetype_0.8</v>
      </c>
      <c r="B297" s="5">
        <f t="shared" si="44"/>
        <v>0.8</v>
      </c>
      <c r="C297" s="5">
        <f t="shared" si="49"/>
        <v>0.8</v>
      </c>
      <c r="D297" s="5">
        <f t="shared" si="49"/>
        <v>0.8</v>
      </c>
      <c r="E297" s="5">
        <f t="shared" si="49"/>
        <v>0.79</v>
      </c>
      <c r="F297" s="5">
        <f t="shared" si="49"/>
        <v>0.75</v>
      </c>
      <c r="G297" s="5">
        <f t="shared" si="49"/>
        <v>0.75</v>
      </c>
      <c r="H297" s="5">
        <f t="shared" si="49"/>
        <v>0.74</v>
      </c>
      <c r="I297" s="5">
        <f t="shared" si="49"/>
        <v>0.71</v>
      </c>
      <c r="J297" s="5">
        <f t="shared" si="49"/>
        <v>0.69</v>
      </c>
      <c r="K297" s="5">
        <f t="shared" si="49"/>
        <v>0.68</v>
      </c>
      <c r="L297" s="5">
        <f t="shared" si="49"/>
        <v>0.65</v>
      </c>
      <c r="M297" s="5">
        <f t="shared" si="49"/>
        <v>0.64</v>
      </c>
      <c r="N297" s="5">
        <f t="shared" si="49"/>
        <v>0.62</v>
      </c>
      <c r="O297" s="5">
        <f t="shared" si="49"/>
        <v>0.6</v>
      </c>
      <c r="P297" s="5">
        <f t="shared" si="49"/>
        <v>0.57</v>
      </c>
      <c r="Q297" s="5">
        <f t="shared" si="49"/>
        <v>0.52</v>
      </c>
      <c r="R297" s="5">
        <f t="shared" si="49"/>
        <v>0.45</v>
      </c>
      <c r="S297" s="5">
        <f t="shared" si="48"/>
        <v>0.42</v>
      </c>
      <c r="T297" s="5">
        <f t="shared" si="48"/>
        <v>0.37</v>
      </c>
      <c r="U297" s="5">
        <f t="shared" si="48"/>
        <v>0.32</v>
      </c>
      <c r="V297" s="5">
        <f t="shared" si="48"/>
        <v>0.31</v>
      </c>
      <c r="W297" s="5">
        <f t="shared" si="48"/>
        <v>0.29</v>
      </c>
      <c r="X297" s="5">
        <f t="shared" si="48"/>
        <v>0.27</v>
      </c>
      <c r="Y297" s="5">
        <f t="shared" si="48"/>
        <v>0.26</v>
      </c>
      <c r="Z297" s="5">
        <f t="shared" si="48"/>
        <v>0.25</v>
      </c>
      <c r="AA297" s="5">
        <f t="shared" si="48"/>
        <v>0.25</v>
      </c>
      <c r="AB297" s="5">
        <f t="shared" si="48"/>
        <v>0.24</v>
      </c>
      <c r="AC297" s="5">
        <f t="shared" si="48"/>
        <v>0.23</v>
      </c>
      <c r="AD297" s="5">
        <f t="shared" si="48"/>
        <v>0.23</v>
      </c>
      <c r="AE297" s="5">
        <f t="shared" si="48"/>
        <v>0.22</v>
      </c>
      <c r="AF297" s="5">
        <f t="shared" si="48"/>
        <v>0.22</v>
      </c>
      <c r="AG297" s="5">
        <f t="shared" si="48"/>
        <v>0.22</v>
      </c>
      <c r="AH297" s="5">
        <f t="shared" si="47"/>
        <v>0.21</v>
      </c>
      <c r="AI297" s="5">
        <f t="shared" si="47"/>
        <v>0.2</v>
      </c>
      <c r="AJ297" s="5">
        <f t="shared" si="47"/>
        <v>0.2</v>
      </c>
    </row>
    <row r="298" spans="1:36">
      <c r="A298" t="str">
        <f>"casthouse_procurement_archetype_"&amp;TEXT(ROUND(Table21319[[#This Row],[2016]],1),"0.0")</f>
        <v>casthouse_procurement_archetype_0.7</v>
      </c>
      <c r="B298" s="5">
        <f t="shared" si="44"/>
        <v>0.7</v>
      </c>
      <c r="C298" s="5">
        <f t="shared" si="49"/>
        <v>0.7</v>
      </c>
      <c r="D298" s="5">
        <f t="shared" si="49"/>
        <v>0.7</v>
      </c>
      <c r="E298" s="5">
        <f t="shared" si="49"/>
        <v>0.69</v>
      </c>
      <c r="F298" s="5">
        <f t="shared" si="49"/>
        <v>0.66</v>
      </c>
      <c r="G298" s="5">
        <f t="shared" si="49"/>
        <v>0.66</v>
      </c>
      <c r="H298" s="5">
        <f t="shared" si="49"/>
        <v>0.65</v>
      </c>
      <c r="I298" s="5">
        <f t="shared" si="49"/>
        <v>0.62</v>
      </c>
      <c r="J298" s="5">
        <f t="shared" si="49"/>
        <v>0.61</v>
      </c>
      <c r="K298" s="5">
        <f t="shared" si="49"/>
        <v>0.6</v>
      </c>
      <c r="L298" s="5">
        <f t="shared" si="49"/>
        <v>0.57</v>
      </c>
      <c r="M298" s="5">
        <f t="shared" si="49"/>
        <v>0.57</v>
      </c>
      <c r="N298" s="5">
        <f t="shared" si="49"/>
        <v>0.55</v>
      </c>
      <c r="O298" s="5">
        <f t="shared" si="49"/>
        <v>0.53</v>
      </c>
      <c r="P298" s="5">
        <f t="shared" si="49"/>
        <v>0.51</v>
      </c>
      <c r="Q298" s="5">
        <f t="shared" si="49"/>
        <v>0.47</v>
      </c>
      <c r="R298" s="5">
        <f t="shared" si="49"/>
        <v>0.41</v>
      </c>
      <c r="S298" s="5">
        <f t="shared" si="48"/>
        <v>0.39</v>
      </c>
      <c r="T298" s="5">
        <f t="shared" si="48"/>
        <v>0.34</v>
      </c>
      <c r="U298" s="5">
        <f t="shared" si="48"/>
        <v>0.3</v>
      </c>
      <c r="V298" s="5">
        <f t="shared" si="48"/>
        <v>0.3</v>
      </c>
      <c r="W298" s="5">
        <f t="shared" si="48"/>
        <v>0.27</v>
      </c>
      <c r="X298" s="5">
        <f t="shared" si="48"/>
        <v>0.26</v>
      </c>
      <c r="Y298" s="5">
        <f t="shared" si="48"/>
        <v>0.25</v>
      </c>
      <c r="Z298" s="5">
        <f t="shared" si="48"/>
        <v>0.25</v>
      </c>
      <c r="AA298" s="5">
        <f t="shared" si="48"/>
        <v>0.24</v>
      </c>
      <c r="AB298" s="5">
        <f t="shared" si="48"/>
        <v>0.23</v>
      </c>
      <c r="AC298" s="5">
        <f t="shared" si="48"/>
        <v>0.23</v>
      </c>
      <c r="AD298" s="5">
        <f t="shared" si="48"/>
        <v>0.22</v>
      </c>
      <c r="AE298" s="5">
        <f t="shared" si="48"/>
        <v>0.22</v>
      </c>
      <c r="AF298" s="5">
        <f t="shared" si="48"/>
        <v>0.22</v>
      </c>
      <c r="AG298" s="5">
        <f t="shared" si="48"/>
        <v>0.21</v>
      </c>
      <c r="AH298" s="5">
        <f t="shared" si="47"/>
        <v>0.21</v>
      </c>
      <c r="AI298" s="5">
        <f t="shared" si="47"/>
        <v>0.2</v>
      </c>
      <c r="AJ298" s="5">
        <f t="shared" si="47"/>
        <v>0.2</v>
      </c>
    </row>
    <row r="299" spans="1:36">
      <c r="A299" t="str">
        <f>"casthouse_procurement_archetype_"&amp;TEXT(ROUND(Table21319[[#This Row],[2016]],1),"0.0")</f>
        <v>casthouse_procurement_archetype_0.6</v>
      </c>
      <c r="B299" s="5">
        <f t="shared" si="44"/>
        <v>0.6</v>
      </c>
      <c r="C299" s="5">
        <f t="shared" si="49"/>
        <v>0.6</v>
      </c>
      <c r="D299" s="5">
        <f t="shared" si="49"/>
        <v>0.6</v>
      </c>
      <c r="E299" s="5">
        <f t="shared" si="49"/>
        <v>0.59</v>
      </c>
      <c r="F299" s="5">
        <f t="shared" si="49"/>
        <v>0.57</v>
      </c>
      <c r="G299" s="5">
        <f t="shared" si="49"/>
        <v>0.57</v>
      </c>
      <c r="H299" s="5">
        <f t="shared" si="49"/>
        <v>0.56</v>
      </c>
      <c r="I299" s="5">
        <f t="shared" si="49"/>
        <v>0.54</v>
      </c>
      <c r="J299" s="5">
        <f t="shared" si="49"/>
        <v>0.53</v>
      </c>
      <c r="K299" s="5">
        <f t="shared" si="49"/>
        <v>0.52</v>
      </c>
      <c r="L299" s="5">
        <f t="shared" si="49"/>
        <v>0.5</v>
      </c>
      <c r="M299" s="5">
        <f t="shared" si="49"/>
        <v>0.5</v>
      </c>
      <c r="N299" s="5">
        <f t="shared" si="49"/>
        <v>0.48</v>
      </c>
      <c r="O299" s="5">
        <f t="shared" si="49"/>
        <v>0.47</v>
      </c>
      <c r="P299" s="5">
        <f t="shared" si="49"/>
        <v>0.45</v>
      </c>
      <c r="Q299" s="5">
        <f t="shared" si="49"/>
        <v>0.41</v>
      </c>
      <c r="R299" s="5">
        <f t="shared" si="49"/>
        <v>0.36</v>
      </c>
      <c r="S299" s="5">
        <f t="shared" si="48"/>
        <v>0.35</v>
      </c>
      <c r="T299" s="5">
        <f t="shared" si="48"/>
        <v>0.32</v>
      </c>
      <c r="U299" s="5">
        <f t="shared" si="48"/>
        <v>0.28</v>
      </c>
      <c r="V299" s="5">
        <f t="shared" si="48"/>
        <v>0.28</v>
      </c>
      <c r="W299" s="5">
        <f t="shared" si="48"/>
        <v>0.26</v>
      </c>
      <c r="X299" s="5">
        <f t="shared" si="48"/>
        <v>0.25</v>
      </c>
      <c r="Y299" s="5">
        <f t="shared" si="48"/>
        <v>0.24</v>
      </c>
      <c r="Z299" s="5">
        <f t="shared" si="48"/>
        <v>0.24</v>
      </c>
      <c r="AA299" s="5">
        <f t="shared" si="48"/>
        <v>0.23</v>
      </c>
      <c r="AB299" s="5">
        <f t="shared" si="48"/>
        <v>0.23</v>
      </c>
      <c r="AC299" s="5">
        <f t="shared" si="48"/>
        <v>0.22</v>
      </c>
      <c r="AD299" s="5">
        <f t="shared" si="48"/>
        <v>0.22</v>
      </c>
      <c r="AE299" s="5">
        <f t="shared" si="48"/>
        <v>0.22</v>
      </c>
      <c r="AF299" s="5">
        <f t="shared" si="48"/>
        <v>0.21</v>
      </c>
      <c r="AG299" s="5">
        <f t="shared" si="48"/>
        <v>0.21</v>
      </c>
      <c r="AH299" s="5">
        <f t="shared" si="47"/>
        <v>0.21</v>
      </c>
      <c r="AI299" s="5">
        <f t="shared" si="47"/>
        <v>0.2</v>
      </c>
      <c r="AJ299" s="5">
        <f t="shared" si="47"/>
        <v>0.2</v>
      </c>
    </row>
    <row r="300" spans="1:36">
      <c r="A300" t="str">
        <f>"casthouse_procurement_archetype_"&amp;TEXT(ROUND(Table21319[[#This Row],[2016]],1),"0.0")</f>
        <v>casthouse_procurement_archetype_0.5</v>
      </c>
      <c r="B300" s="5">
        <f t="shared" si="44"/>
        <v>0.5</v>
      </c>
      <c r="C300" s="5">
        <f t="shared" si="49"/>
        <v>0.5</v>
      </c>
      <c r="D300" s="5">
        <f t="shared" si="49"/>
        <v>0.5</v>
      </c>
      <c r="E300" s="5">
        <f t="shared" si="49"/>
        <v>0.49</v>
      </c>
      <c r="F300" s="5">
        <f t="shared" si="49"/>
        <v>0.47</v>
      </c>
      <c r="G300" s="5">
        <f t="shared" si="49"/>
        <v>0.48</v>
      </c>
      <c r="H300" s="5">
        <f t="shared" si="49"/>
        <v>0.47</v>
      </c>
      <c r="I300" s="5">
        <f t="shared" si="49"/>
        <v>0.45</v>
      </c>
      <c r="J300" s="5">
        <f t="shared" si="49"/>
        <v>0.45</v>
      </c>
      <c r="K300" s="5">
        <f t="shared" si="49"/>
        <v>0.44</v>
      </c>
      <c r="L300" s="5">
        <f t="shared" si="49"/>
        <v>0.42</v>
      </c>
      <c r="M300" s="5">
        <f t="shared" si="49"/>
        <v>0.42</v>
      </c>
      <c r="N300" s="5">
        <f t="shared" si="49"/>
        <v>0.41</v>
      </c>
      <c r="O300" s="5">
        <f t="shared" si="49"/>
        <v>0.4</v>
      </c>
      <c r="P300" s="5">
        <f t="shared" si="49"/>
        <v>0.39</v>
      </c>
      <c r="Q300" s="5">
        <f t="shared" si="49"/>
        <v>0.36</v>
      </c>
      <c r="R300" s="5">
        <f t="shared" ref="R300:AG303" si="50">MROUND((($B300-$AJ$2)*((R$2-$AJ$2)/($B$2-$AJ$2)))+$AJ$2,0.01)</f>
        <v>0.32</v>
      </c>
      <c r="S300" s="5">
        <f t="shared" si="50"/>
        <v>0.31</v>
      </c>
      <c r="T300" s="5">
        <f t="shared" si="50"/>
        <v>0.29</v>
      </c>
      <c r="U300" s="5">
        <f t="shared" si="50"/>
        <v>0.26</v>
      </c>
      <c r="V300" s="5">
        <f t="shared" si="50"/>
        <v>0.26</v>
      </c>
      <c r="W300" s="5">
        <f t="shared" si="50"/>
        <v>0.24</v>
      </c>
      <c r="X300" s="5">
        <f t="shared" si="50"/>
        <v>0.24</v>
      </c>
      <c r="Y300" s="5">
        <f t="shared" si="50"/>
        <v>0.23</v>
      </c>
      <c r="Z300" s="5">
        <f t="shared" si="50"/>
        <v>0.23</v>
      </c>
      <c r="AA300" s="5">
        <f t="shared" si="50"/>
        <v>0.22</v>
      </c>
      <c r="AB300" s="5">
        <f t="shared" si="50"/>
        <v>0.22</v>
      </c>
      <c r="AC300" s="5">
        <f t="shared" si="50"/>
        <v>0.22</v>
      </c>
      <c r="AD300" s="5">
        <f t="shared" si="50"/>
        <v>0.21</v>
      </c>
      <c r="AE300" s="5">
        <f t="shared" si="50"/>
        <v>0.21</v>
      </c>
      <c r="AF300" s="5">
        <f t="shared" si="50"/>
        <v>0.21</v>
      </c>
      <c r="AG300" s="5">
        <f t="shared" si="50"/>
        <v>0.21</v>
      </c>
      <c r="AH300" s="5">
        <f t="shared" si="47"/>
        <v>0.2</v>
      </c>
      <c r="AI300" s="5">
        <f t="shared" si="47"/>
        <v>0.2</v>
      </c>
      <c r="AJ300" s="5">
        <f t="shared" si="47"/>
        <v>0.2</v>
      </c>
    </row>
    <row r="301" spans="1:36">
      <c r="A301" t="str">
        <f>"casthouse_procurement_archetype_"&amp;TEXT(ROUND(Table21319[[#This Row],[2016]],1),"0.0")</f>
        <v>casthouse_procurement_archetype_0.4</v>
      </c>
      <c r="B301" s="5">
        <f t="shared" si="44"/>
        <v>0.4</v>
      </c>
      <c r="C301" s="5">
        <f t="shared" ref="C301:R303" si="51">MROUND((($B301-$AJ$2)*((C$2-$AJ$2)/($B$2-$AJ$2)))+$AJ$2,0.01)</f>
        <v>0.4</v>
      </c>
      <c r="D301" s="5">
        <f t="shared" si="51"/>
        <v>0.4</v>
      </c>
      <c r="E301" s="5">
        <f t="shared" si="51"/>
        <v>0.4</v>
      </c>
      <c r="F301" s="5">
        <f t="shared" si="51"/>
        <v>0.38</v>
      </c>
      <c r="G301" s="5">
        <f t="shared" si="51"/>
        <v>0.38</v>
      </c>
      <c r="H301" s="5">
        <f t="shared" si="51"/>
        <v>0.38</v>
      </c>
      <c r="I301" s="5">
        <f t="shared" si="51"/>
        <v>0.37</v>
      </c>
      <c r="J301" s="5">
        <f t="shared" si="51"/>
        <v>0.36</v>
      </c>
      <c r="K301" s="5">
        <f t="shared" si="51"/>
        <v>0.36</v>
      </c>
      <c r="L301" s="5">
        <f t="shared" si="51"/>
        <v>0.35</v>
      </c>
      <c r="M301" s="5">
        <f t="shared" si="51"/>
        <v>0.35</v>
      </c>
      <c r="N301" s="5">
        <f t="shared" si="51"/>
        <v>0.34</v>
      </c>
      <c r="O301" s="5">
        <f t="shared" si="51"/>
        <v>0.33</v>
      </c>
      <c r="P301" s="5">
        <f t="shared" si="51"/>
        <v>0.32</v>
      </c>
      <c r="Q301" s="5">
        <f t="shared" si="51"/>
        <v>0.31</v>
      </c>
      <c r="R301" s="5">
        <f t="shared" si="51"/>
        <v>0.28</v>
      </c>
      <c r="S301" s="5">
        <f t="shared" si="50"/>
        <v>0.27</v>
      </c>
      <c r="T301" s="5">
        <f t="shared" si="50"/>
        <v>0.26</v>
      </c>
      <c r="U301" s="5">
        <f t="shared" si="50"/>
        <v>0.24</v>
      </c>
      <c r="V301" s="5">
        <f t="shared" si="50"/>
        <v>0.24</v>
      </c>
      <c r="W301" s="5">
        <f t="shared" si="50"/>
        <v>0.23</v>
      </c>
      <c r="X301" s="5">
        <f t="shared" si="50"/>
        <v>0.22</v>
      </c>
      <c r="Y301" s="5">
        <f t="shared" si="50"/>
        <v>0.22</v>
      </c>
      <c r="Z301" s="5">
        <f t="shared" si="50"/>
        <v>0.22</v>
      </c>
      <c r="AA301" s="5">
        <f t="shared" si="50"/>
        <v>0.22</v>
      </c>
      <c r="AB301" s="5">
        <f t="shared" si="50"/>
        <v>0.21</v>
      </c>
      <c r="AC301" s="5">
        <f t="shared" si="50"/>
        <v>0.21</v>
      </c>
      <c r="AD301" s="5">
        <f t="shared" si="50"/>
        <v>0.21</v>
      </c>
      <c r="AE301" s="5">
        <f t="shared" si="50"/>
        <v>0.21</v>
      </c>
      <c r="AF301" s="5">
        <f t="shared" si="50"/>
        <v>0.21</v>
      </c>
      <c r="AG301" s="5">
        <f t="shared" si="50"/>
        <v>0.21</v>
      </c>
      <c r="AH301" s="5">
        <f t="shared" si="47"/>
        <v>0.2</v>
      </c>
      <c r="AI301" s="5">
        <f t="shared" si="47"/>
        <v>0.2</v>
      </c>
      <c r="AJ301" s="5">
        <f t="shared" si="47"/>
        <v>0.2</v>
      </c>
    </row>
    <row r="302" spans="1:36">
      <c r="A302" t="str">
        <f>"casthouse_procurement_archetype_"&amp;TEXT(ROUND(Table21319[[#This Row],[2016]],1),"0.0")</f>
        <v>casthouse_procurement_archetype_0.3</v>
      </c>
      <c r="B302" s="5">
        <f t="shared" si="44"/>
        <v>0.3</v>
      </c>
      <c r="C302" s="5">
        <f t="shared" si="51"/>
        <v>0.3</v>
      </c>
      <c r="D302" s="5">
        <f t="shared" si="51"/>
        <v>0.3</v>
      </c>
      <c r="E302" s="5">
        <f t="shared" si="51"/>
        <v>0.3</v>
      </c>
      <c r="F302" s="5">
        <f t="shared" si="51"/>
        <v>0.29</v>
      </c>
      <c r="G302" s="5">
        <f t="shared" si="51"/>
        <v>0.29</v>
      </c>
      <c r="H302" s="5">
        <f t="shared" si="51"/>
        <v>0.29</v>
      </c>
      <c r="I302" s="5">
        <f t="shared" si="51"/>
        <v>0.28</v>
      </c>
      <c r="J302" s="5">
        <f t="shared" si="51"/>
        <v>0.28</v>
      </c>
      <c r="K302" s="5">
        <f t="shared" si="51"/>
        <v>0.28</v>
      </c>
      <c r="L302" s="5">
        <f t="shared" si="51"/>
        <v>0.27</v>
      </c>
      <c r="M302" s="5">
        <f t="shared" si="51"/>
        <v>0.27</v>
      </c>
      <c r="N302" s="5">
        <f t="shared" si="51"/>
        <v>0.27</v>
      </c>
      <c r="O302" s="5">
        <f t="shared" si="51"/>
        <v>0.27</v>
      </c>
      <c r="P302" s="5">
        <f t="shared" si="51"/>
        <v>0.26</v>
      </c>
      <c r="Q302" s="5">
        <f t="shared" si="51"/>
        <v>0.25</v>
      </c>
      <c r="R302" s="5">
        <f t="shared" si="51"/>
        <v>0.24</v>
      </c>
      <c r="S302" s="5">
        <f t="shared" si="50"/>
        <v>0.24</v>
      </c>
      <c r="T302" s="5">
        <f t="shared" si="50"/>
        <v>0.23</v>
      </c>
      <c r="U302" s="5">
        <f t="shared" si="50"/>
        <v>0.22</v>
      </c>
      <c r="V302" s="5">
        <f t="shared" si="50"/>
        <v>0.22</v>
      </c>
      <c r="W302" s="5">
        <f t="shared" si="50"/>
        <v>0.21</v>
      </c>
      <c r="X302" s="5">
        <f t="shared" si="50"/>
        <v>0.21</v>
      </c>
      <c r="Y302" s="5">
        <f t="shared" si="50"/>
        <v>0.21</v>
      </c>
      <c r="Z302" s="5">
        <f t="shared" si="50"/>
        <v>0.21</v>
      </c>
      <c r="AA302" s="5">
        <f t="shared" si="50"/>
        <v>0.21</v>
      </c>
      <c r="AB302" s="5">
        <f t="shared" si="50"/>
        <v>0.21</v>
      </c>
      <c r="AC302" s="5">
        <f t="shared" si="50"/>
        <v>0.21</v>
      </c>
      <c r="AD302" s="5">
        <f t="shared" si="50"/>
        <v>0.21</v>
      </c>
      <c r="AE302" s="5">
        <f t="shared" si="50"/>
        <v>0.2</v>
      </c>
      <c r="AF302" s="5">
        <f t="shared" si="50"/>
        <v>0.2</v>
      </c>
      <c r="AG302" s="5">
        <f t="shared" si="50"/>
        <v>0.2</v>
      </c>
      <c r="AH302" s="5">
        <f t="shared" si="47"/>
        <v>0.2</v>
      </c>
      <c r="AI302" s="5">
        <f t="shared" si="47"/>
        <v>0.2</v>
      </c>
      <c r="AJ302" s="5">
        <f t="shared" si="47"/>
        <v>0.2</v>
      </c>
    </row>
    <row r="303" spans="1:36">
      <c r="A303" t="str">
        <f>"casthouse_procurement_archetype_"&amp;TEXT(ROUND(Table21319[[#This Row],[2016]],1),"0.0")</f>
        <v>casthouse_procurement_archetype_0.2</v>
      </c>
      <c r="B303" s="5">
        <f t="shared" si="44"/>
        <v>0.2</v>
      </c>
      <c r="C303" s="5">
        <f t="shared" si="51"/>
        <v>0.2</v>
      </c>
      <c r="D303" s="5">
        <f t="shared" si="51"/>
        <v>0.2</v>
      </c>
      <c r="E303" s="5">
        <f t="shared" si="51"/>
        <v>0.2</v>
      </c>
      <c r="F303" s="5">
        <f t="shared" si="51"/>
        <v>0.2</v>
      </c>
      <c r="G303" s="5">
        <f t="shared" si="51"/>
        <v>0.2</v>
      </c>
      <c r="H303" s="5">
        <f t="shared" si="51"/>
        <v>0.2</v>
      </c>
      <c r="I303" s="5">
        <f t="shared" si="51"/>
        <v>0.2</v>
      </c>
      <c r="J303" s="5">
        <f t="shared" si="51"/>
        <v>0.2</v>
      </c>
      <c r="K303" s="5">
        <f t="shared" si="51"/>
        <v>0.2</v>
      </c>
      <c r="L303" s="5">
        <f t="shared" si="51"/>
        <v>0.2</v>
      </c>
      <c r="M303" s="5">
        <f t="shared" si="51"/>
        <v>0.2</v>
      </c>
      <c r="N303" s="5">
        <f t="shared" si="51"/>
        <v>0.2</v>
      </c>
      <c r="O303" s="5">
        <f t="shared" si="51"/>
        <v>0.2</v>
      </c>
      <c r="P303" s="5">
        <f t="shared" si="51"/>
        <v>0.2</v>
      </c>
      <c r="Q303" s="5">
        <f t="shared" si="51"/>
        <v>0.2</v>
      </c>
      <c r="R303" s="5">
        <f t="shared" si="51"/>
        <v>0.2</v>
      </c>
      <c r="S303" s="5">
        <f t="shared" si="50"/>
        <v>0.2</v>
      </c>
      <c r="T303" s="5">
        <f t="shared" si="50"/>
        <v>0.2</v>
      </c>
      <c r="U303" s="5">
        <f t="shared" si="50"/>
        <v>0.2</v>
      </c>
      <c r="V303" s="5">
        <f t="shared" si="50"/>
        <v>0.2</v>
      </c>
      <c r="W303" s="5">
        <f t="shared" si="50"/>
        <v>0.2</v>
      </c>
      <c r="X303" s="5">
        <f t="shared" si="50"/>
        <v>0.2</v>
      </c>
      <c r="Y303" s="5">
        <f t="shared" si="50"/>
        <v>0.2</v>
      </c>
      <c r="Z303" s="5">
        <f t="shared" si="50"/>
        <v>0.2</v>
      </c>
      <c r="AA303" s="5">
        <f t="shared" si="50"/>
        <v>0.2</v>
      </c>
      <c r="AB303" s="5">
        <f t="shared" si="50"/>
        <v>0.2</v>
      </c>
      <c r="AC303" s="5">
        <f t="shared" si="50"/>
        <v>0.2</v>
      </c>
      <c r="AD303" s="5">
        <f t="shared" si="50"/>
        <v>0.2</v>
      </c>
      <c r="AE303" s="5">
        <f t="shared" si="50"/>
        <v>0.2</v>
      </c>
      <c r="AF303" s="5">
        <f t="shared" si="50"/>
        <v>0.2</v>
      </c>
      <c r="AG303" s="5">
        <f t="shared" si="50"/>
        <v>0.2</v>
      </c>
      <c r="AH303" s="5">
        <f t="shared" si="47"/>
        <v>0.2</v>
      </c>
      <c r="AI303" s="5">
        <f t="shared" si="47"/>
        <v>0.2</v>
      </c>
      <c r="AJ303" s="5">
        <f t="shared" si="47"/>
        <v>0.2</v>
      </c>
    </row>
    <row r="304" spans="1:36">
      <c r="A304" t="s">
        <v>209</v>
      </c>
      <c r="B304" s="5">
        <v>0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</row>
  </sheetData>
  <pageMargins left="0.7" right="0.7" top="0.75" bottom="0.75" header="0.3" footer="0.3"/>
  <pageSetup paperSize="9" orientation="portrait"/>
  <headerFooter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B2:F15"/>
  <sheetViews>
    <sheetView zoomScale="82" zoomScaleNormal="82" workbookViewId="0">
      <selection activeCell="D9" sqref="D9"/>
    </sheetView>
  </sheetViews>
  <sheetFormatPr defaultColWidth="9.16666666666667" defaultRowHeight="13.5" outlineLevelCol="5"/>
  <cols>
    <col min="1" max="1" width="9.16666666666667" style="137"/>
    <col min="2" max="2" width="40.6666666666667" style="137" customWidth="1"/>
    <col min="3" max="3" width="4.83333333333333" style="137" customWidth="1"/>
    <col min="4" max="4" width="9.16666666666667" style="137"/>
    <col min="5" max="5" width="3.16666666666667" style="137" customWidth="1"/>
    <col min="6" max="6" width="30.5" style="137" customWidth="1"/>
    <col min="7" max="7" width="44.6666666666667" style="137" customWidth="1"/>
    <col min="8" max="8" width="28.5" style="137" customWidth="1"/>
    <col min="9" max="16384" width="9.16666666666667" style="137"/>
  </cols>
  <sheetData>
    <row r="2" ht="18.75" spans="2:2">
      <c r="B2" s="173" t="s">
        <v>44</v>
      </c>
    </row>
    <row r="3" ht="18.75" spans="2:2">
      <c r="B3" s="173"/>
    </row>
    <row r="4" ht="18.75" spans="2:2">
      <c r="B4" s="173" t="s">
        <v>45</v>
      </c>
    </row>
    <row r="5" ht="18.75" spans="2:2">
      <c r="B5" s="173" t="s">
        <v>46</v>
      </c>
    </row>
    <row r="6" ht="18.75" spans="2:2">
      <c r="B6" s="173"/>
    </row>
    <row r="7" ht="18.75" spans="2:6">
      <c r="B7" s="173" t="s">
        <v>47</v>
      </c>
      <c r="D7" s="174"/>
      <c r="F7" s="173" t="s">
        <v>48</v>
      </c>
    </row>
    <row r="8" ht="18.75" spans="2:6">
      <c r="B8" s="173"/>
      <c r="F8" s="173"/>
    </row>
    <row r="9" ht="18.75" spans="2:6">
      <c r="B9" s="173"/>
      <c r="D9" s="163"/>
      <c r="F9" s="173" t="s">
        <v>49</v>
      </c>
    </row>
    <row r="10" ht="18.75" spans="2:6">
      <c r="B10" s="173"/>
      <c r="F10" s="173"/>
    </row>
    <row r="11" ht="18.75" spans="2:6">
      <c r="B11" s="173"/>
      <c r="D11" s="149"/>
      <c r="F11" s="173" t="s">
        <v>50</v>
      </c>
    </row>
    <row r="12" ht="18.75" spans="2:6">
      <c r="B12" s="173"/>
      <c r="F12" s="173"/>
    </row>
    <row r="13" ht="18.75" spans="2:6">
      <c r="B13" s="173"/>
      <c r="D13" s="175"/>
      <c r="F13" s="173" t="s">
        <v>51</v>
      </c>
    </row>
    <row r="14" ht="18.75" spans="2:2">
      <c r="B14" s="173"/>
    </row>
    <row r="15" ht="18.75" spans="2:2">
      <c r="B15" s="173" t="s">
        <v>52</v>
      </c>
    </row>
  </sheetData>
  <sheetProtection algorithmName="SHA-512" hashValue="Lo6NtdDAH/4nOu+j88kvFi8BYfGnpERM18d7HH7ml56NRg85vp9eyFUoMhnDhs2o5k96IxNHgDL6+cTBXV0mlQ==" saltValue="78PgsB61P0PzVKhTmlT+Cg==" spinCount="100000" sheet="1" selectLockedCells="1" objects="1" scenarios="1"/>
  <pageMargins left="0.7" right="0.7" top="0.75" bottom="0.75" header="0.3" footer="0.3"/>
  <headerFooter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>
    <tabColor theme="9"/>
  </sheetPr>
  <dimension ref="A1:AJ202"/>
  <sheetViews>
    <sheetView workbookViewId="0">
      <selection activeCell="AH202" sqref="AH202:AJ202"/>
    </sheetView>
  </sheetViews>
  <sheetFormatPr defaultColWidth="8.83333333333333" defaultRowHeight="13.5"/>
  <cols>
    <col min="1" max="1" width="39.3333333333333" customWidth="1"/>
    <col min="2" max="2" width="10" style="3" customWidth="1"/>
  </cols>
  <sheetData>
    <row r="1" spans="1:36">
      <c r="A1" t="s">
        <v>106</v>
      </c>
      <c r="B1" t="s">
        <v>171</v>
      </c>
      <c r="C1" t="s">
        <v>172</v>
      </c>
      <c r="D1" t="s">
        <v>173</v>
      </c>
      <c r="E1" t="s">
        <v>174</v>
      </c>
      <c r="F1" t="s">
        <v>175</v>
      </c>
      <c r="G1" t="s">
        <v>176</v>
      </c>
      <c r="H1" t="s">
        <v>177</v>
      </c>
      <c r="I1" t="s">
        <v>54</v>
      </c>
      <c r="J1" t="s">
        <v>178</v>
      </c>
      <c r="K1" t="s">
        <v>179</v>
      </c>
      <c r="L1" t="s">
        <v>180</v>
      </c>
      <c r="M1" t="s">
        <v>181</v>
      </c>
      <c r="N1" t="s">
        <v>182</v>
      </c>
      <c r="O1" t="s">
        <v>183</v>
      </c>
      <c r="P1" t="s">
        <v>184</v>
      </c>
      <c r="Q1" t="s">
        <v>185</v>
      </c>
      <c r="R1" t="s">
        <v>186</v>
      </c>
      <c r="S1" t="s">
        <v>187</v>
      </c>
      <c r="T1" t="s">
        <v>188</v>
      </c>
      <c r="U1" t="s">
        <v>189</v>
      </c>
      <c r="V1" t="s">
        <v>190</v>
      </c>
      <c r="W1" t="s">
        <v>191</v>
      </c>
      <c r="X1" t="s">
        <v>192</v>
      </c>
      <c r="Y1" t="s">
        <v>193</v>
      </c>
      <c r="Z1" t="s">
        <v>194</v>
      </c>
      <c r="AA1" t="s">
        <v>195</v>
      </c>
      <c r="AB1" t="s">
        <v>196</v>
      </c>
      <c r="AC1" t="s">
        <v>197</v>
      </c>
      <c r="AD1" t="s">
        <v>198</v>
      </c>
      <c r="AE1" t="s">
        <v>199</v>
      </c>
      <c r="AF1" t="s">
        <v>200</v>
      </c>
      <c r="AG1" t="s">
        <v>201</v>
      </c>
      <c r="AH1" t="s">
        <v>202</v>
      </c>
      <c r="AI1" t="s">
        <v>203</v>
      </c>
      <c r="AJ1" t="s">
        <v>204</v>
      </c>
    </row>
    <row r="2" spans="1:36">
      <c r="A2" t="s">
        <v>212</v>
      </c>
      <c r="B2" s="4">
        <f>'Sectoral Slopes'!C21</f>
        <v>8.24867126054661</v>
      </c>
      <c r="C2" s="4">
        <f>'Sectoral Slopes'!D21</f>
        <v>8.24867126054661</v>
      </c>
      <c r="D2" s="4">
        <f>'Sectoral Slopes'!E21</f>
        <v>8.24867126054661</v>
      </c>
      <c r="E2" s="4">
        <f>'Sectoral Slopes'!F21</f>
        <v>8.05492255946508</v>
      </c>
      <c r="F2" s="4">
        <f>'Sectoral Slopes'!G21</f>
        <v>7.58652377493512</v>
      </c>
      <c r="G2" s="4">
        <f>'Sectoral Slopes'!H21</f>
        <v>7.65200706994068</v>
      </c>
      <c r="H2" s="4">
        <f>'Sectoral Slopes'!I21</f>
        <v>7.4486938681416</v>
      </c>
      <c r="I2" s="4">
        <f>'Sectoral Slopes'!J21</f>
        <v>7.05539852254688</v>
      </c>
      <c r="J2" s="4">
        <f>'Sectoral Slopes'!K21</f>
        <v>6.83446493464727</v>
      </c>
      <c r="K2" s="4">
        <f>'Sectoral Slopes'!L21</f>
        <v>6.60767193589557</v>
      </c>
      <c r="L2" s="4">
        <f>'Sectoral Slopes'!M21</f>
        <v>6.24942585189977</v>
      </c>
      <c r="M2" s="4">
        <f>'Sectoral Slopes'!N21</f>
        <v>6.2059459137741</v>
      </c>
      <c r="N2" s="4">
        <f>'Sectoral Slopes'!O21</f>
        <v>5.91240731167805</v>
      </c>
      <c r="O2" s="4">
        <f>'Sectoral Slopes'!P21</f>
        <v>5.60803219064225</v>
      </c>
      <c r="P2" s="4">
        <f>'Sectoral Slopes'!Q21</f>
        <v>5.2481978021096</v>
      </c>
      <c r="Q2" s="4">
        <f>'Sectoral Slopes'!R21</f>
        <v>4.54573276493162</v>
      </c>
      <c r="R2" s="4">
        <f>'Sectoral Slopes'!S21</f>
        <v>3.59808512487754</v>
      </c>
      <c r="S2" s="4">
        <f>'Sectoral Slopes'!T21</f>
        <v>3.29587842539145</v>
      </c>
      <c r="T2" s="4">
        <f>'Sectoral Slopes'!U21</f>
        <v>2.63896613016371</v>
      </c>
      <c r="U2" s="4">
        <f>'Sectoral Slopes'!V21</f>
        <v>1.97695034714769</v>
      </c>
      <c r="V2" s="4">
        <f>'Sectoral Slopes'!W21</f>
        <v>1.8493618397132</v>
      </c>
      <c r="W2" s="4">
        <f>'Sectoral Slopes'!X21</f>
        <v>1.46438478894095</v>
      </c>
      <c r="X2" s="4">
        <f>'Sectoral Slopes'!Y21</f>
        <v>1.26903068217716</v>
      </c>
      <c r="Y2" s="4">
        <f>'Sectoral Slopes'!Z21</f>
        <v>1.06582965159548</v>
      </c>
      <c r="Z2" s="4">
        <f>'Sectoral Slopes'!AA21</f>
        <v>1.03407728897237</v>
      </c>
      <c r="AA2" s="4">
        <f>'Sectoral Slopes'!AB21</f>
        <v>0.935544231059637</v>
      </c>
      <c r="AB2" s="4">
        <f>'Sectoral Slopes'!AC21</f>
        <v>0.7916650354337</v>
      </c>
      <c r="AC2" s="4">
        <f>'Sectoral Slopes'!AD21</f>
        <v>0.673823534076158</v>
      </c>
      <c r="AD2" s="4">
        <f>'Sectoral Slopes'!AE21</f>
        <v>0.654333500315705</v>
      </c>
      <c r="AE2" s="4">
        <f>'Sectoral Slopes'!AF21</f>
        <v>0.574850834470385</v>
      </c>
      <c r="AF2" s="4">
        <f>'Sectoral Slopes'!AG21</f>
        <v>0.528495010203488</v>
      </c>
      <c r="AG2" s="4">
        <f>'Sectoral Slopes'!AH21</f>
        <v>0.493731461807158</v>
      </c>
      <c r="AH2" s="4">
        <f>'Sectoral Slopes'!AI21</f>
        <v>0.363464358308358</v>
      </c>
      <c r="AI2" s="4">
        <f>'Sectoral Slopes'!AJ21</f>
        <v>0.289955441228936</v>
      </c>
      <c r="AJ2" s="4">
        <f>'Sectoral Slopes'!AK21</f>
        <v>0.254907408174699</v>
      </c>
    </row>
    <row r="4" spans="1:36">
      <c r="A4" t="s">
        <v>213</v>
      </c>
      <c r="B4" t="s">
        <v>171</v>
      </c>
      <c r="C4" t="s">
        <v>172</v>
      </c>
      <c r="D4" t="s">
        <v>173</v>
      </c>
      <c r="E4" t="s">
        <v>174</v>
      </c>
      <c r="F4" t="s">
        <v>175</v>
      </c>
      <c r="G4" t="s">
        <v>176</v>
      </c>
      <c r="H4" t="s">
        <v>177</v>
      </c>
      <c r="I4" t="s">
        <v>54</v>
      </c>
      <c r="J4" t="s">
        <v>178</v>
      </c>
      <c r="K4" t="s">
        <v>179</v>
      </c>
      <c r="L4" t="s">
        <v>180</v>
      </c>
      <c r="M4" t="s">
        <v>181</v>
      </c>
      <c r="N4" t="s">
        <v>182</v>
      </c>
      <c r="O4" t="s">
        <v>183</v>
      </c>
      <c r="P4" t="s">
        <v>184</v>
      </c>
      <c r="Q4" t="s">
        <v>185</v>
      </c>
      <c r="R4" t="s">
        <v>186</v>
      </c>
      <c r="S4" t="s">
        <v>187</v>
      </c>
      <c r="T4" t="s">
        <v>188</v>
      </c>
      <c r="U4" t="s">
        <v>189</v>
      </c>
      <c r="V4" t="s">
        <v>190</v>
      </c>
      <c r="W4" t="s">
        <v>191</v>
      </c>
      <c r="X4" t="s">
        <v>192</v>
      </c>
      <c r="Y4" t="s">
        <v>193</v>
      </c>
      <c r="Z4" t="s">
        <v>194</v>
      </c>
      <c r="AA4" t="s">
        <v>195</v>
      </c>
      <c r="AB4" t="s">
        <v>196</v>
      </c>
      <c r="AC4" t="s">
        <v>197</v>
      </c>
      <c r="AD4" t="s">
        <v>198</v>
      </c>
      <c r="AE4" t="s">
        <v>199</v>
      </c>
      <c r="AF4" t="s">
        <v>200</v>
      </c>
      <c r="AG4" t="s">
        <v>201</v>
      </c>
      <c r="AH4" t="s">
        <v>202</v>
      </c>
      <c r="AI4" t="s">
        <v>203</v>
      </c>
      <c r="AJ4" t="s">
        <v>204</v>
      </c>
    </row>
    <row r="5" spans="1:36">
      <c r="A5" t="str">
        <f>"semis_procurement_archetype_"&amp;TEXT(ROUND(Table26916[[#This Row],[2016]],3),"0.0")</f>
        <v>semis_procurement_archetype_20.0</v>
      </c>
      <c r="B5" s="4">
        <v>20</v>
      </c>
      <c r="C5" s="4">
        <f>(($B5-$AJ$2)*((C$2-$AJ$2)/($B$2-$AJ$2)))+$AJ$2</f>
        <v>20</v>
      </c>
      <c r="D5" s="4">
        <f t="shared" ref="D5:AJ12" si="0">(($B5-$AJ$2)*((D$2-$AJ$2)/($B$2-$AJ$2)))+$AJ$2</f>
        <v>20</v>
      </c>
      <c r="E5" s="4">
        <f t="shared" si="0"/>
        <v>19.5214286895321</v>
      </c>
      <c r="F5" s="4">
        <f t="shared" si="0"/>
        <v>18.3644546356015</v>
      </c>
      <c r="G5" s="4">
        <f t="shared" si="0"/>
        <v>18.5262024363849</v>
      </c>
      <c r="H5" s="4">
        <f t="shared" si="0"/>
        <v>18.0240062158307</v>
      </c>
      <c r="I5" s="4">
        <f t="shared" si="0"/>
        <v>17.0525423149554</v>
      </c>
      <c r="J5" s="4">
        <f t="shared" si="0"/>
        <v>16.5068226476891</v>
      </c>
      <c r="K5" s="4">
        <f t="shared" si="0"/>
        <v>15.9466298721417</v>
      </c>
      <c r="L5" s="4">
        <f t="shared" si="0"/>
        <v>15.0617398216235</v>
      </c>
      <c r="M5" s="4">
        <f t="shared" si="0"/>
        <v>14.9543416772659</v>
      </c>
      <c r="N5" s="4">
        <f t="shared" si="0"/>
        <v>14.2292831210337</v>
      </c>
      <c r="O5" s="4">
        <f t="shared" si="0"/>
        <v>13.4774576907996</v>
      </c>
      <c r="P5" s="4">
        <f t="shared" si="0"/>
        <v>12.5886444295482</v>
      </c>
      <c r="Q5" s="4">
        <f t="shared" si="0"/>
        <v>10.8535122117652</v>
      </c>
      <c r="R5" s="4">
        <f t="shared" si="0"/>
        <v>8.51276375548695</v>
      </c>
      <c r="S5" s="4">
        <f t="shared" si="0"/>
        <v>7.76629446099409</v>
      </c>
      <c r="T5" s="4">
        <f t="shared" si="0"/>
        <v>6.14368034159755</v>
      </c>
      <c r="U5" s="4">
        <f t="shared" si="0"/>
        <v>4.50846029077976</v>
      </c>
      <c r="V5" s="4">
        <f t="shared" si="0"/>
        <v>4.19330876272964</v>
      </c>
      <c r="W5" s="4">
        <f t="shared" si="0"/>
        <v>3.24239156607384</v>
      </c>
      <c r="X5" s="4">
        <f t="shared" si="0"/>
        <v>2.75985480398276</v>
      </c>
      <c r="Y5" s="4">
        <f t="shared" si="0"/>
        <v>2.25793565329392</v>
      </c>
      <c r="Z5" s="4">
        <f t="shared" si="0"/>
        <v>2.17950534792326</v>
      </c>
      <c r="AA5" s="4">
        <f t="shared" si="0"/>
        <v>1.93612258258609</v>
      </c>
      <c r="AB5" s="4">
        <f t="shared" si="0"/>
        <v>1.58073204414424</v>
      </c>
      <c r="AC5" s="4">
        <f t="shared" si="0"/>
        <v>1.28965622573937</v>
      </c>
      <c r="AD5" s="4">
        <f t="shared" si="0"/>
        <v>1.24151463332746</v>
      </c>
      <c r="AE5" s="4">
        <f t="shared" si="0"/>
        <v>1.04518751814814</v>
      </c>
      <c r="AF5" s="4">
        <f t="shared" si="0"/>
        <v>0.930685756622034</v>
      </c>
      <c r="AG5" s="4">
        <f t="shared" si="0"/>
        <v>0.844817635598886</v>
      </c>
      <c r="AH5" s="4">
        <f t="shared" si="0"/>
        <v>0.523049809108804</v>
      </c>
      <c r="AI5" s="4">
        <f t="shared" si="0"/>
        <v>0.34147822395029</v>
      </c>
      <c r="AJ5" s="4">
        <f t="shared" si="0"/>
        <v>0.254907408174699</v>
      </c>
    </row>
    <row r="6" spans="1:36">
      <c r="A6" t="str">
        <f>"semis_procurement_archetype_"&amp;TEXT(ROUND(Table26916[[#This Row],[2016]],3),"0.0")</f>
        <v>semis_procurement_archetype_19.9</v>
      </c>
      <c r="B6" s="4">
        <f>MROUND(B5-0.1,0.1)</f>
        <v>19.9</v>
      </c>
      <c r="C6" s="4">
        <f t="shared" ref="C6:R28" si="1">(($B6-$AJ$2)*((C$2-$AJ$2)/($B$2-$AJ$2)))+$AJ$2</f>
        <v>19.9</v>
      </c>
      <c r="D6" s="4">
        <f t="shared" si="0"/>
        <v>19.9</v>
      </c>
      <c r="E6" s="4">
        <f t="shared" si="0"/>
        <v>19.423852437652</v>
      </c>
      <c r="F6" s="4">
        <f t="shared" si="0"/>
        <v>18.2727379361573</v>
      </c>
      <c r="G6" s="4">
        <f t="shared" si="0"/>
        <v>18.4336665571873</v>
      </c>
      <c r="H6" s="4">
        <f t="shared" si="0"/>
        <v>17.9340137342811</v>
      </c>
      <c r="I6" s="4">
        <f t="shared" si="0"/>
        <v>16.9674698604776</v>
      </c>
      <c r="J6" s="4">
        <f t="shared" si="0"/>
        <v>16.424514017512</v>
      </c>
      <c r="K6" s="4">
        <f t="shared" si="0"/>
        <v>15.8671583660397</v>
      </c>
      <c r="L6" s="4">
        <f t="shared" si="0"/>
        <v>14.9867498850376</v>
      </c>
      <c r="M6" s="4">
        <f t="shared" si="0"/>
        <v>14.8798956639047</v>
      </c>
      <c r="N6" s="4">
        <f t="shared" si="0"/>
        <v>14.1585092026645</v>
      </c>
      <c r="O6" s="4">
        <f t="shared" si="0"/>
        <v>13.4104914295823</v>
      </c>
      <c r="P6" s="4">
        <f t="shared" si="0"/>
        <v>12.5261796071422</v>
      </c>
      <c r="Q6" s="4">
        <f t="shared" si="0"/>
        <v>10.7998350524696</v>
      </c>
      <c r="R6" s="4">
        <f t="shared" si="0"/>
        <v>8.47094143275583</v>
      </c>
      <c r="S6" s="4">
        <f t="shared" si="0"/>
        <v>7.72825266900001</v>
      </c>
      <c r="T6" s="4">
        <f t="shared" si="0"/>
        <v>6.11385635922807</v>
      </c>
      <c r="U6" s="4">
        <f t="shared" si="0"/>
        <v>4.48691796139931</v>
      </c>
      <c r="V6" s="4">
        <f t="shared" si="0"/>
        <v>4.17336253388194</v>
      </c>
      <c r="W6" s="4">
        <f t="shared" si="0"/>
        <v>3.22726130449615</v>
      </c>
      <c r="X6" s="4">
        <f t="shared" si="0"/>
        <v>2.74716837375126</v>
      </c>
      <c r="Y6" s="4">
        <f t="shared" si="0"/>
        <v>2.24779121747624</v>
      </c>
      <c r="Z6" s="4">
        <f t="shared" si="0"/>
        <v>2.16975812627415</v>
      </c>
      <c r="AA6" s="4">
        <f t="shared" si="0"/>
        <v>1.92760798501409</v>
      </c>
      <c r="AB6" s="4">
        <f t="shared" si="0"/>
        <v>1.57401733956737</v>
      </c>
      <c r="AC6" s="4">
        <f t="shared" si="0"/>
        <v>1.28441568907056</v>
      </c>
      <c r="AD6" s="4">
        <f t="shared" si="0"/>
        <v>1.23651791213933</v>
      </c>
      <c r="AE6" s="4">
        <f t="shared" si="0"/>
        <v>1.04118510536482</v>
      </c>
      <c r="AF6" s="4">
        <f t="shared" si="0"/>
        <v>0.927263243684682</v>
      </c>
      <c r="AG6" s="4">
        <f t="shared" si="0"/>
        <v>0.841830006016088</v>
      </c>
      <c r="AH6" s="4">
        <f t="shared" si="0"/>
        <v>0.52169178863011</v>
      </c>
      <c r="AI6" s="4">
        <f t="shared" si="0"/>
        <v>0.341039781763337</v>
      </c>
      <c r="AJ6" s="4">
        <f t="shared" si="0"/>
        <v>0.254907408174699</v>
      </c>
    </row>
    <row r="7" spans="1:36">
      <c r="A7" t="str">
        <f>"semis_procurement_archetype_"&amp;TEXT(ROUND(Table26916[[#This Row],[2016]],3),"0.0")</f>
        <v>semis_procurement_archetype_19.8</v>
      </c>
      <c r="B7" s="4">
        <f t="shared" ref="B7:B70" si="2">MROUND(B6-0.1,0.1)</f>
        <v>19.8</v>
      </c>
      <c r="C7" s="4">
        <f t="shared" si="1"/>
        <v>19.8</v>
      </c>
      <c r="D7" s="4">
        <f t="shared" si="0"/>
        <v>19.8</v>
      </c>
      <c r="E7" s="4">
        <f t="shared" si="0"/>
        <v>19.3262761857719</v>
      </c>
      <c r="F7" s="4">
        <f t="shared" si="0"/>
        <v>18.1810212367131</v>
      </c>
      <c r="G7" s="4">
        <f t="shared" si="0"/>
        <v>18.3411306779898</v>
      </c>
      <c r="H7" s="4">
        <f t="shared" si="0"/>
        <v>17.8440212527315</v>
      </c>
      <c r="I7" s="4">
        <f t="shared" si="0"/>
        <v>16.8823974059998</v>
      </c>
      <c r="J7" s="4">
        <f t="shared" si="0"/>
        <v>16.342205387335</v>
      </c>
      <c r="K7" s="4">
        <f t="shared" si="0"/>
        <v>15.7876868599376</v>
      </c>
      <c r="L7" s="4">
        <f t="shared" si="0"/>
        <v>14.9117599484516</v>
      </c>
      <c r="M7" s="4">
        <f t="shared" si="0"/>
        <v>14.8054496505435</v>
      </c>
      <c r="N7" s="4">
        <f t="shared" si="0"/>
        <v>14.0877352842954</v>
      </c>
      <c r="O7" s="4">
        <f t="shared" si="0"/>
        <v>13.3435251683651</v>
      </c>
      <c r="P7" s="4">
        <f t="shared" si="0"/>
        <v>12.4637147847363</v>
      </c>
      <c r="Q7" s="4">
        <f t="shared" si="0"/>
        <v>10.7461578931739</v>
      </c>
      <c r="R7" s="4">
        <f t="shared" si="0"/>
        <v>8.42911911002471</v>
      </c>
      <c r="S7" s="4">
        <f t="shared" si="0"/>
        <v>7.69021087700594</v>
      </c>
      <c r="T7" s="4">
        <f t="shared" si="0"/>
        <v>6.08403237685859</v>
      </c>
      <c r="U7" s="4">
        <f t="shared" si="0"/>
        <v>4.46537563201887</v>
      </c>
      <c r="V7" s="4">
        <f t="shared" si="0"/>
        <v>4.15341630503425</v>
      </c>
      <c r="W7" s="4">
        <f t="shared" si="0"/>
        <v>3.21213104291847</v>
      </c>
      <c r="X7" s="4">
        <f t="shared" si="0"/>
        <v>2.73448194351975</v>
      </c>
      <c r="Y7" s="4">
        <f t="shared" si="0"/>
        <v>2.23764678165856</v>
      </c>
      <c r="Z7" s="4">
        <f t="shared" si="0"/>
        <v>2.16001090462503</v>
      </c>
      <c r="AA7" s="4">
        <f t="shared" si="0"/>
        <v>1.9190933874421</v>
      </c>
      <c r="AB7" s="4">
        <f t="shared" si="0"/>
        <v>1.56730263499051</v>
      </c>
      <c r="AC7" s="4">
        <f t="shared" si="0"/>
        <v>1.27917515240175</v>
      </c>
      <c r="AD7" s="4">
        <f t="shared" si="0"/>
        <v>1.23152119095119</v>
      </c>
      <c r="AE7" s="4">
        <f t="shared" si="0"/>
        <v>1.0371826925815</v>
      </c>
      <c r="AF7" s="4">
        <f t="shared" si="0"/>
        <v>0.92384073074733</v>
      </c>
      <c r="AG7" s="4">
        <f t="shared" si="0"/>
        <v>0.838842376433291</v>
      </c>
      <c r="AH7" s="4">
        <f t="shared" si="0"/>
        <v>0.520333768151415</v>
      </c>
      <c r="AI7" s="4">
        <f t="shared" si="0"/>
        <v>0.340601339576383</v>
      </c>
      <c r="AJ7" s="4">
        <f t="shared" si="0"/>
        <v>0.254907408174699</v>
      </c>
    </row>
    <row r="8" spans="1:36">
      <c r="A8" t="str">
        <f>"semis_procurement_archetype_"&amp;TEXT(ROUND(Table26916[[#This Row],[2016]],3),"0.0")</f>
        <v>semis_procurement_archetype_19.7</v>
      </c>
      <c r="B8" s="4">
        <f t="shared" si="2"/>
        <v>19.7</v>
      </c>
      <c r="C8" s="4">
        <f t="shared" si="1"/>
        <v>19.7</v>
      </c>
      <c r="D8" s="4">
        <f t="shared" si="0"/>
        <v>19.7</v>
      </c>
      <c r="E8" s="4">
        <f t="shared" si="0"/>
        <v>19.2286999338918</v>
      </c>
      <c r="F8" s="4">
        <f t="shared" si="0"/>
        <v>18.0893045372689</v>
      </c>
      <c r="G8" s="4">
        <f t="shared" si="0"/>
        <v>18.2485947987923</v>
      </c>
      <c r="H8" s="4">
        <f t="shared" si="0"/>
        <v>17.7540287711818</v>
      </c>
      <c r="I8" s="4">
        <f t="shared" si="0"/>
        <v>16.797324951522</v>
      </c>
      <c r="J8" s="4">
        <f t="shared" si="0"/>
        <v>16.259896757158</v>
      </c>
      <c r="K8" s="4">
        <f t="shared" si="0"/>
        <v>15.7082153538356</v>
      </c>
      <c r="L8" s="4">
        <f t="shared" si="0"/>
        <v>14.8367700118657</v>
      </c>
      <c r="M8" s="4">
        <f t="shared" si="0"/>
        <v>14.7310036371823</v>
      </c>
      <c r="N8" s="4">
        <f t="shared" si="0"/>
        <v>14.0169613659262</v>
      </c>
      <c r="O8" s="4">
        <f t="shared" si="0"/>
        <v>13.2765589071479</v>
      </c>
      <c r="P8" s="4">
        <f t="shared" si="0"/>
        <v>12.4012499623303</v>
      </c>
      <c r="Q8" s="4">
        <f t="shared" si="0"/>
        <v>10.6924807338782</v>
      </c>
      <c r="R8" s="4">
        <f t="shared" si="0"/>
        <v>8.38729678729359</v>
      </c>
      <c r="S8" s="4">
        <f t="shared" si="0"/>
        <v>7.65216908501187</v>
      </c>
      <c r="T8" s="4">
        <f t="shared" si="0"/>
        <v>6.05420839448912</v>
      </c>
      <c r="U8" s="4">
        <f t="shared" si="0"/>
        <v>4.44383330263842</v>
      </c>
      <c r="V8" s="4">
        <f t="shared" si="0"/>
        <v>4.13347007618655</v>
      </c>
      <c r="W8" s="4">
        <f t="shared" si="0"/>
        <v>3.19700078134079</v>
      </c>
      <c r="X8" s="4">
        <f t="shared" si="0"/>
        <v>2.72179551328825</v>
      </c>
      <c r="Y8" s="4">
        <f t="shared" si="0"/>
        <v>2.22750234584088</v>
      </c>
      <c r="Z8" s="4">
        <f t="shared" si="0"/>
        <v>2.15026368297591</v>
      </c>
      <c r="AA8" s="4">
        <f t="shared" si="0"/>
        <v>1.91057878987011</v>
      </c>
      <c r="AB8" s="4">
        <f t="shared" si="0"/>
        <v>1.56058793041364</v>
      </c>
      <c r="AC8" s="4">
        <f t="shared" si="0"/>
        <v>1.27393461573295</v>
      </c>
      <c r="AD8" s="4">
        <f t="shared" si="0"/>
        <v>1.22652446976305</v>
      </c>
      <c r="AE8" s="4">
        <f t="shared" si="0"/>
        <v>1.03318027979818</v>
      </c>
      <c r="AF8" s="4">
        <f t="shared" si="0"/>
        <v>0.920418217809978</v>
      </c>
      <c r="AG8" s="4">
        <f t="shared" si="0"/>
        <v>0.835854746850493</v>
      </c>
      <c r="AH8" s="4">
        <f t="shared" si="0"/>
        <v>0.518975747672721</v>
      </c>
      <c r="AI8" s="4">
        <f t="shared" si="0"/>
        <v>0.34016289738943</v>
      </c>
      <c r="AJ8" s="4">
        <f t="shared" si="0"/>
        <v>0.254907408174699</v>
      </c>
    </row>
    <row r="9" spans="1:36">
      <c r="A9" t="str">
        <f>"semis_procurement_archetype_"&amp;TEXT(ROUND(Table26916[[#This Row],[2016]],3),"0.0")</f>
        <v>semis_procurement_archetype_19.6</v>
      </c>
      <c r="B9" s="4">
        <f t="shared" si="2"/>
        <v>19.6</v>
      </c>
      <c r="C9" s="4">
        <f t="shared" si="1"/>
        <v>19.6</v>
      </c>
      <c r="D9" s="4">
        <f t="shared" si="0"/>
        <v>19.6</v>
      </c>
      <c r="E9" s="4">
        <f t="shared" si="0"/>
        <v>19.1311236820117</v>
      </c>
      <c r="F9" s="4">
        <f t="shared" si="0"/>
        <v>17.9975878378246</v>
      </c>
      <c r="G9" s="4">
        <f t="shared" si="0"/>
        <v>18.1560589195948</v>
      </c>
      <c r="H9" s="4">
        <f t="shared" si="0"/>
        <v>17.6640362896322</v>
      </c>
      <c r="I9" s="4">
        <f t="shared" si="0"/>
        <v>16.7122524970442</v>
      </c>
      <c r="J9" s="4">
        <f t="shared" si="0"/>
        <v>16.177588126981</v>
      </c>
      <c r="K9" s="4">
        <f t="shared" si="0"/>
        <v>15.6287438477335</v>
      </c>
      <c r="L9" s="4">
        <f t="shared" si="0"/>
        <v>14.7617800752797</v>
      </c>
      <c r="M9" s="4">
        <f t="shared" si="0"/>
        <v>14.6565576238211</v>
      </c>
      <c r="N9" s="4">
        <f t="shared" si="0"/>
        <v>13.946187447557</v>
      </c>
      <c r="O9" s="4">
        <f t="shared" si="0"/>
        <v>13.2095926459306</v>
      </c>
      <c r="P9" s="4">
        <f t="shared" si="0"/>
        <v>12.3387851399244</v>
      </c>
      <c r="Q9" s="4">
        <f t="shared" si="0"/>
        <v>10.6388035745826</v>
      </c>
      <c r="R9" s="4">
        <f t="shared" si="0"/>
        <v>8.34547446456246</v>
      </c>
      <c r="S9" s="4">
        <f t="shared" si="0"/>
        <v>7.61412729301779</v>
      </c>
      <c r="T9" s="4">
        <f t="shared" si="0"/>
        <v>6.02438441211964</v>
      </c>
      <c r="U9" s="4">
        <f t="shared" si="0"/>
        <v>4.42229097325798</v>
      </c>
      <c r="V9" s="4">
        <f t="shared" si="0"/>
        <v>4.11352384733885</v>
      </c>
      <c r="W9" s="4">
        <f t="shared" si="0"/>
        <v>3.1818705197631</v>
      </c>
      <c r="X9" s="4">
        <f t="shared" si="0"/>
        <v>2.70910908305674</v>
      </c>
      <c r="Y9" s="4">
        <f t="shared" si="0"/>
        <v>2.2173579100232</v>
      </c>
      <c r="Z9" s="4">
        <f t="shared" si="0"/>
        <v>2.1405164613268</v>
      </c>
      <c r="AA9" s="4">
        <f t="shared" si="0"/>
        <v>1.90206419229811</v>
      </c>
      <c r="AB9" s="4">
        <f t="shared" si="0"/>
        <v>1.55387322583678</v>
      </c>
      <c r="AC9" s="4">
        <f t="shared" si="0"/>
        <v>1.26869407906414</v>
      </c>
      <c r="AD9" s="4">
        <f t="shared" si="0"/>
        <v>1.22152774857492</v>
      </c>
      <c r="AE9" s="4">
        <f t="shared" si="0"/>
        <v>1.02917786701486</v>
      </c>
      <c r="AF9" s="4">
        <f t="shared" si="0"/>
        <v>0.916995704872626</v>
      </c>
      <c r="AG9" s="4">
        <f t="shared" si="0"/>
        <v>0.832867117267695</v>
      </c>
      <c r="AH9" s="4">
        <f t="shared" si="0"/>
        <v>0.517617727194027</v>
      </c>
      <c r="AI9" s="4">
        <f t="shared" si="0"/>
        <v>0.339724455202476</v>
      </c>
      <c r="AJ9" s="4">
        <f t="shared" si="0"/>
        <v>0.254907408174699</v>
      </c>
    </row>
    <row r="10" spans="1:36">
      <c r="A10" t="str">
        <f>"semis_procurement_archetype_"&amp;TEXT(ROUND(Table26916[[#This Row],[2016]],3),"0.0")</f>
        <v>semis_procurement_archetype_19.5</v>
      </c>
      <c r="B10" s="4">
        <f t="shared" si="2"/>
        <v>19.5</v>
      </c>
      <c r="C10" s="4">
        <f t="shared" si="1"/>
        <v>19.5</v>
      </c>
      <c r="D10" s="4">
        <f t="shared" si="0"/>
        <v>19.5</v>
      </c>
      <c r="E10" s="4">
        <f t="shared" si="0"/>
        <v>19.0335474301316</v>
      </c>
      <c r="F10" s="4">
        <f t="shared" si="0"/>
        <v>17.9058711383804</v>
      </c>
      <c r="G10" s="4">
        <f t="shared" si="0"/>
        <v>18.0635230403972</v>
      </c>
      <c r="H10" s="4">
        <f t="shared" si="0"/>
        <v>17.5740438080826</v>
      </c>
      <c r="I10" s="4">
        <f t="shared" si="0"/>
        <v>16.6271800425663</v>
      </c>
      <c r="J10" s="4">
        <f t="shared" si="0"/>
        <v>16.095279496804</v>
      </c>
      <c r="K10" s="4">
        <f t="shared" si="0"/>
        <v>15.5492723416315</v>
      </c>
      <c r="L10" s="4">
        <f t="shared" si="0"/>
        <v>14.6867901386937</v>
      </c>
      <c r="M10" s="4">
        <f t="shared" si="0"/>
        <v>14.5821116104599</v>
      </c>
      <c r="N10" s="4">
        <f t="shared" si="0"/>
        <v>13.8754135291878</v>
      </c>
      <c r="O10" s="4">
        <f t="shared" si="0"/>
        <v>13.1426263847134</v>
      </c>
      <c r="P10" s="4">
        <f t="shared" si="0"/>
        <v>12.2763203175184</v>
      </c>
      <c r="Q10" s="4">
        <f t="shared" si="0"/>
        <v>10.5851264152869</v>
      </c>
      <c r="R10" s="4">
        <f t="shared" si="0"/>
        <v>8.30365214183134</v>
      </c>
      <c r="S10" s="4">
        <f t="shared" si="0"/>
        <v>7.57608550102372</v>
      </c>
      <c r="T10" s="4">
        <f t="shared" si="0"/>
        <v>5.99456042975016</v>
      </c>
      <c r="U10" s="4">
        <f t="shared" si="0"/>
        <v>4.40074864387753</v>
      </c>
      <c r="V10" s="4">
        <f t="shared" si="0"/>
        <v>4.09357761849116</v>
      </c>
      <c r="W10" s="4">
        <f t="shared" si="0"/>
        <v>3.16674025818542</v>
      </c>
      <c r="X10" s="4">
        <f t="shared" si="0"/>
        <v>2.69642265282524</v>
      </c>
      <c r="Y10" s="4">
        <f t="shared" si="0"/>
        <v>2.20721347420552</v>
      </c>
      <c r="Z10" s="4">
        <f t="shared" si="0"/>
        <v>2.13076923967768</v>
      </c>
      <c r="AA10" s="4">
        <f t="shared" si="0"/>
        <v>1.89354959472612</v>
      </c>
      <c r="AB10" s="4">
        <f t="shared" si="0"/>
        <v>1.54715852125991</v>
      </c>
      <c r="AC10" s="4">
        <f t="shared" si="0"/>
        <v>1.26345354239533</v>
      </c>
      <c r="AD10" s="4">
        <f t="shared" si="0"/>
        <v>1.21653102738678</v>
      </c>
      <c r="AE10" s="4">
        <f t="shared" si="0"/>
        <v>1.02517545423154</v>
      </c>
      <c r="AF10" s="4">
        <f t="shared" si="0"/>
        <v>0.913573191935274</v>
      </c>
      <c r="AG10" s="4">
        <f t="shared" si="0"/>
        <v>0.829879487684897</v>
      </c>
      <c r="AH10" s="4">
        <f t="shared" si="0"/>
        <v>0.516259706715333</v>
      </c>
      <c r="AI10" s="4">
        <f t="shared" si="0"/>
        <v>0.339286013015523</v>
      </c>
      <c r="AJ10" s="4">
        <f t="shared" si="0"/>
        <v>0.254907408174699</v>
      </c>
    </row>
    <row r="11" spans="1:36">
      <c r="A11" t="str">
        <f>"semis_procurement_archetype_"&amp;TEXT(ROUND(Table26916[[#This Row],[2016]],3),"0.0")</f>
        <v>semis_procurement_archetype_19.4</v>
      </c>
      <c r="B11" s="4">
        <f t="shared" si="2"/>
        <v>19.4</v>
      </c>
      <c r="C11" s="4">
        <f t="shared" si="1"/>
        <v>19.4</v>
      </c>
      <c r="D11" s="4">
        <f t="shared" si="0"/>
        <v>19.4</v>
      </c>
      <c r="E11" s="4">
        <f t="shared" si="0"/>
        <v>18.9359711782515</v>
      </c>
      <c r="F11" s="4">
        <f t="shared" si="0"/>
        <v>17.8141544389362</v>
      </c>
      <c r="G11" s="4">
        <f t="shared" si="0"/>
        <v>17.9709871611997</v>
      </c>
      <c r="H11" s="4">
        <f t="shared" si="0"/>
        <v>17.4840513265329</v>
      </c>
      <c r="I11" s="4">
        <f t="shared" si="0"/>
        <v>16.5421075880885</v>
      </c>
      <c r="J11" s="4">
        <f t="shared" si="0"/>
        <v>16.012970866627</v>
      </c>
      <c r="K11" s="4">
        <f t="shared" si="0"/>
        <v>15.4698008355295</v>
      </c>
      <c r="L11" s="4">
        <f t="shared" si="0"/>
        <v>14.6118002021078</v>
      </c>
      <c r="M11" s="4">
        <f t="shared" si="0"/>
        <v>14.5076655970987</v>
      </c>
      <c r="N11" s="4">
        <f t="shared" si="0"/>
        <v>13.8046396108186</v>
      </c>
      <c r="O11" s="4">
        <f t="shared" si="0"/>
        <v>13.0756601234962</v>
      </c>
      <c r="P11" s="4">
        <f t="shared" si="0"/>
        <v>12.2138554951125</v>
      </c>
      <c r="Q11" s="4">
        <f t="shared" si="0"/>
        <v>10.5314492559912</v>
      </c>
      <c r="R11" s="4">
        <f t="shared" si="0"/>
        <v>8.26182981910022</v>
      </c>
      <c r="S11" s="4">
        <f t="shared" si="0"/>
        <v>7.53804370902965</v>
      </c>
      <c r="T11" s="4">
        <f t="shared" si="0"/>
        <v>5.96473644738069</v>
      </c>
      <c r="U11" s="4">
        <f t="shared" si="0"/>
        <v>4.37920631449708</v>
      </c>
      <c r="V11" s="4">
        <f t="shared" si="0"/>
        <v>4.07363138964346</v>
      </c>
      <c r="W11" s="4">
        <f t="shared" si="0"/>
        <v>3.15160999660773</v>
      </c>
      <c r="X11" s="4">
        <f t="shared" si="0"/>
        <v>2.68373622259373</v>
      </c>
      <c r="Y11" s="4">
        <f t="shared" si="0"/>
        <v>2.19706903838784</v>
      </c>
      <c r="Z11" s="4">
        <f t="shared" si="0"/>
        <v>2.12102201802856</v>
      </c>
      <c r="AA11" s="4">
        <f t="shared" si="0"/>
        <v>1.88503499715413</v>
      </c>
      <c r="AB11" s="4">
        <f t="shared" si="0"/>
        <v>1.54044381668305</v>
      </c>
      <c r="AC11" s="4">
        <f t="shared" si="0"/>
        <v>1.25821300572652</v>
      </c>
      <c r="AD11" s="4">
        <f t="shared" si="0"/>
        <v>1.21153430619865</v>
      </c>
      <c r="AE11" s="4">
        <f t="shared" si="0"/>
        <v>1.02117304144822</v>
      </c>
      <c r="AF11" s="4">
        <f t="shared" si="0"/>
        <v>0.910150678997922</v>
      </c>
      <c r="AG11" s="4">
        <f t="shared" si="0"/>
        <v>0.8268918581021</v>
      </c>
      <c r="AH11" s="4">
        <f t="shared" si="0"/>
        <v>0.514901686236639</v>
      </c>
      <c r="AI11" s="4">
        <f t="shared" si="0"/>
        <v>0.338847570828569</v>
      </c>
      <c r="AJ11" s="4">
        <f t="shared" si="0"/>
        <v>0.254907408174699</v>
      </c>
    </row>
    <row r="12" spans="1:36">
      <c r="A12" t="str">
        <f>"semis_procurement_archetype_"&amp;TEXT(ROUND(Table26916[[#This Row],[2016]],3),"0.0")</f>
        <v>semis_procurement_archetype_19.3</v>
      </c>
      <c r="B12" s="4">
        <f t="shared" si="2"/>
        <v>19.3</v>
      </c>
      <c r="C12" s="4">
        <f t="shared" si="1"/>
        <v>19.3</v>
      </c>
      <c r="D12" s="4">
        <f t="shared" si="0"/>
        <v>19.3</v>
      </c>
      <c r="E12" s="4">
        <f t="shared" si="0"/>
        <v>18.8383949263714</v>
      </c>
      <c r="F12" s="4">
        <f t="shared" si="0"/>
        <v>17.722437739492</v>
      </c>
      <c r="G12" s="4">
        <f t="shared" si="0"/>
        <v>17.8784512820022</v>
      </c>
      <c r="H12" s="4">
        <f t="shared" si="0"/>
        <v>17.3940588449833</v>
      </c>
      <c r="I12" s="4">
        <f t="shared" si="0"/>
        <v>16.4570351336107</v>
      </c>
      <c r="J12" s="4">
        <f t="shared" si="0"/>
        <v>15.93066223645</v>
      </c>
      <c r="K12" s="4">
        <f t="shared" si="0"/>
        <v>15.3903293294274</v>
      </c>
      <c r="L12" s="4">
        <f t="shared" si="0"/>
        <v>14.5368102655218</v>
      </c>
      <c r="M12" s="4">
        <f t="shared" si="0"/>
        <v>14.4332195837375</v>
      </c>
      <c r="N12" s="4">
        <f t="shared" si="0"/>
        <v>13.7338656924494</v>
      </c>
      <c r="O12" s="4">
        <f t="shared" si="0"/>
        <v>13.008693862279</v>
      </c>
      <c r="P12" s="4">
        <f t="shared" si="0"/>
        <v>12.1513906727065</v>
      </c>
      <c r="Q12" s="4">
        <f t="shared" si="0"/>
        <v>10.4777720966956</v>
      </c>
      <c r="R12" s="4">
        <f t="shared" si="0"/>
        <v>8.22000749636909</v>
      </c>
      <c r="S12" s="4">
        <f t="shared" si="0"/>
        <v>7.50000191703557</v>
      </c>
      <c r="T12" s="4">
        <f t="shared" si="0"/>
        <v>5.93491246501121</v>
      </c>
      <c r="U12" s="4">
        <f t="shared" si="0"/>
        <v>4.35766398511664</v>
      </c>
      <c r="V12" s="4">
        <f t="shared" si="0"/>
        <v>4.05368516079577</v>
      </c>
      <c r="W12" s="4">
        <f t="shared" si="0"/>
        <v>3.13647973503005</v>
      </c>
      <c r="X12" s="4">
        <f t="shared" si="0"/>
        <v>2.67104979236223</v>
      </c>
      <c r="Y12" s="4">
        <f t="shared" si="0"/>
        <v>2.18692460257016</v>
      </c>
      <c r="Z12" s="4">
        <f t="shared" si="0"/>
        <v>2.11127479637945</v>
      </c>
      <c r="AA12" s="4">
        <f t="shared" si="0"/>
        <v>1.87652039958213</v>
      </c>
      <c r="AB12" s="4">
        <f t="shared" ref="AB12:AJ28" si="3">(($B12-$AJ$2)*((AB$2-$AJ$2)/($B$2-$AJ$2)))+$AJ$2</f>
        <v>1.53372911210618</v>
      </c>
      <c r="AC12" s="4">
        <f t="shared" si="3"/>
        <v>1.25297246905772</v>
      </c>
      <c r="AD12" s="4">
        <f t="shared" si="3"/>
        <v>1.20653758501051</v>
      </c>
      <c r="AE12" s="4">
        <f t="shared" si="3"/>
        <v>1.0171706286649</v>
      </c>
      <c r="AF12" s="4">
        <f t="shared" si="3"/>
        <v>0.90672816606057</v>
      </c>
      <c r="AG12" s="4">
        <f t="shared" si="3"/>
        <v>0.823904228519302</v>
      </c>
      <c r="AH12" s="4">
        <f t="shared" si="3"/>
        <v>0.513543665757945</v>
      </c>
      <c r="AI12" s="4">
        <f t="shared" si="3"/>
        <v>0.338409128641616</v>
      </c>
      <c r="AJ12" s="4">
        <f t="shared" si="3"/>
        <v>0.254907408174699</v>
      </c>
    </row>
    <row r="13" spans="1:36">
      <c r="A13" t="str">
        <f>"semis_procurement_archetype_"&amp;TEXT(ROUND(Table26916[[#This Row],[2016]],3),"0.0")</f>
        <v>semis_procurement_archetype_19.2</v>
      </c>
      <c r="B13" s="4">
        <f t="shared" si="2"/>
        <v>19.2</v>
      </c>
      <c r="C13" s="4">
        <f t="shared" si="1"/>
        <v>19.2</v>
      </c>
      <c r="D13" s="4">
        <f t="shared" si="1"/>
        <v>19.2</v>
      </c>
      <c r="E13" s="4">
        <f t="shared" si="1"/>
        <v>18.7408186744913</v>
      </c>
      <c r="F13" s="4">
        <f t="shared" si="1"/>
        <v>17.6307210400478</v>
      </c>
      <c r="G13" s="4">
        <f t="shared" si="1"/>
        <v>17.7859154028047</v>
      </c>
      <c r="H13" s="4">
        <f t="shared" si="1"/>
        <v>17.3040663634337</v>
      </c>
      <c r="I13" s="4">
        <f t="shared" si="1"/>
        <v>16.3719626791329</v>
      </c>
      <c r="J13" s="4">
        <f t="shared" si="1"/>
        <v>15.8483536062729</v>
      </c>
      <c r="K13" s="4">
        <f t="shared" si="1"/>
        <v>15.3108578233254</v>
      </c>
      <c r="L13" s="4">
        <f t="shared" si="1"/>
        <v>14.4618203289359</v>
      </c>
      <c r="M13" s="4">
        <f t="shared" si="1"/>
        <v>14.3587735703763</v>
      </c>
      <c r="N13" s="4">
        <f t="shared" si="1"/>
        <v>13.6630917740802</v>
      </c>
      <c r="O13" s="4">
        <f t="shared" si="1"/>
        <v>12.9417276010617</v>
      </c>
      <c r="P13" s="4">
        <f t="shared" si="1"/>
        <v>12.0889258503006</v>
      </c>
      <c r="Q13" s="4">
        <f t="shared" si="1"/>
        <v>10.4240949373999</v>
      </c>
      <c r="R13" s="4">
        <f t="shared" si="1"/>
        <v>8.17818517363797</v>
      </c>
      <c r="S13" s="4">
        <f t="shared" ref="S13:AH29" si="4">(($B13-$AJ$2)*((S$2-$AJ$2)/($B$2-$AJ$2)))+$AJ$2</f>
        <v>7.4619601250415</v>
      </c>
      <c r="T13" s="4">
        <f t="shared" si="4"/>
        <v>5.90508848264173</v>
      </c>
      <c r="U13" s="4">
        <f t="shared" si="4"/>
        <v>4.33612165573619</v>
      </c>
      <c r="V13" s="4">
        <f t="shared" si="4"/>
        <v>4.03373893194807</v>
      </c>
      <c r="W13" s="4">
        <f t="shared" si="4"/>
        <v>3.12134947345236</v>
      </c>
      <c r="X13" s="4">
        <f t="shared" si="4"/>
        <v>2.65836336213072</v>
      </c>
      <c r="Y13" s="4">
        <f t="shared" si="4"/>
        <v>2.17678016675248</v>
      </c>
      <c r="Z13" s="4">
        <f t="shared" si="4"/>
        <v>2.10152757473033</v>
      </c>
      <c r="AA13" s="4">
        <f t="shared" si="4"/>
        <v>1.86800580201014</v>
      </c>
      <c r="AB13" s="4">
        <f t="shared" si="4"/>
        <v>1.52701440752932</v>
      </c>
      <c r="AC13" s="4">
        <f t="shared" si="4"/>
        <v>1.24773193238891</v>
      </c>
      <c r="AD13" s="4">
        <f t="shared" si="4"/>
        <v>1.20154086382237</v>
      </c>
      <c r="AE13" s="4">
        <f t="shared" si="4"/>
        <v>1.01316821588158</v>
      </c>
      <c r="AF13" s="4">
        <f t="shared" si="4"/>
        <v>0.903305653123218</v>
      </c>
      <c r="AG13" s="4">
        <f t="shared" si="4"/>
        <v>0.820916598936504</v>
      </c>
      <c r="AH13" s="4">
        <f t="shared" si="4"/>
        <v>0.512185645279251</v>
      </c>
      <c r="AI13" s="4">
        <f t="shared" si="3"/>
        <v>0.337970686454662</v>
      </c>
      <c r="AJ13" s="4">
        <f t="shared" si="3"/>
        <v>0.254907408174699</v>
      </c>
    </row>
    <row r="14" spans="1:36">
      <c r="A14" t="str">
        <f>"semis_procurement_archetype_"&amp;TEXT(ROUND(Table26916[[#This Row],[2016]],3),"0.0")</f>
        <v>semis_procurement_archetype_19.1</v>
      </c>
      <c r="B14" s="4">
        <f t="shared" si="2"/>
        <v>19.1</v>
      </c>
      <c r="C14" s="4">
        <f t="shared" si="1"/>
        <v>19.1</v>
      </c>
      <c r="D14" s="4">
        <f t="shared" si="1"/>
        <v>19.1</v>
      </c>
      <c r="E14" s="4">
        <f t="shared" si="1"/>
        <v>18.6432424226112</v>
      </c>
      <c r="F14" s="4">
        <f t="shared" si="1"/>
        <v>17.5390043406036</v>
      </c>
      <c r="G14" s="4">
        <f t="shared" si="1"/>
        <v>17.6933795236072</v>
      </c>
      <c r="H14" s="4">
        <f t="shared" si="1"/>
        <v>17.214073881884</v>
      </c>
      <c r="I14" s="4">
        <f t="shared" si="1"/>
        <v>16.2868902246551</v>
      </c>
      <c r="J14" s="4">
        <f t="shared" si="1"/>
        <v>15.7660449760959</v>
      </c>
      <c r="K14" s="4">
        <f t="shared" si="1"/>
        <v>15.2313863172233</v>
      </c>
      <c r="L14" s="4">
        <f t="shared" si="1"/>
        <v>14.3868303923499</v>
      </c>
      <c r="M14" s="4">
        <f t="shared" si="1"/>
        <v>14.2843275570151</v>
      </c>
      <c r="N14" s="4">
        <f t="shared" si="1"/>
        <v>13.592317855711</v>
      </c>
      <c r="O14" s="4">
        <f t="shared" si="1"/>
        <v>12.8747613398445</v>
      </c>
      <c r="P14" s="4">
        <f t="shared" si="1"/>
        <v>12.0264610278946</v>
      </c>
      <c r="Q14" s="4">
        <f t="shared" si="1"/>
        <v>10.3704177781043</v>
      </c>
      <c r="R14" s="4">
        <f t="shared" si="1"/>
        <v>8.13636285090685</v>
      </c>
      <c r="S14" s="4">
        <f t="shared" si="4"/>
        <v>7.42391833304743</v>
      </c>
      <c r="T14" s="4">
        <f t="shared" si="4"/>
        <v>5.87526450027226</v>
      </c>
      <c r="U14" s="4">
        <f t="shared" si="4"/>
        <v>4.31457932635575</v>
      </c>
      <c r="V14" s="4">
        <f t="shared" si="4"/>
        <v>4.01379270310038</v>
      </c>
      <c r="W14" s="4">
        <f t="shared" si="4"/>
        <v>3.10621921187468</v>
      </c>
      <c r="X14" s="4">
        <f t="shared" si="4"/>
        <v>2.64567693189922</v>
      </c>
      <c r="Y14" s="4">
        <f t="shared" si="4"/>
        <v>2.1666357309348</v>
      </c>
      <c r="Z14" s="4">
        <f t="shared" si="4"/>
        <v>2.09178035308121</v>
      </c>
      <c r="AA14" s="4">
        <f t="shared" si="4"/>
        <v>1.85949120443815</v>
      </c>
      <c r="AB14" s="4">
        <f t="shared" si="4"/>
        <v>1.52029970295245</v>
      </c>
      <c r="AC14" s="4">
        <f t="shared" si="4"/>
        <v>1.2424913957201</v>
      </c>
      <c r="AD14" s="4">
        <f t="shared" si="4"/>
        <v>1.19654414263424</v>
      </c>
      <c r="AE14" s="4">
        <f t="shared" si="4"/>
        <v>1.00916580309826</v>
      </c>
      <c r="AF14" s="4">
        <f t="shared" si="4"/>
        <v>0.899883140185866</v>
      </c>
      <c r="AG14" s="4">
        <f t="shared" si="4"/>
        <v>0.817928969353706</v>
      </c>
      <c r="AH14" s="4">
        <f t="shared" si="4"/>
        <v>0.510827624800557</v>
      </c>
      <c r="AI14" s="4">
        <f t="shared" si="3"/>
        <v>0.337532244267709</v>
      </c>
      <c r="AJ14" s="4">
        <f t="shared" si="3"/>
        <v>0.254907408174699</v>
      </c>
    </row>
    <row r="15" spans="1:36">
      <c r="A15" t="str">
        <f>"semis_procurement_archetype_"&amp;TEXT(ROUND(Table26916[[#This Row],[2016]],3),"0.0")</f>
        <v>semis_procurement_archetype_19.0</v>
      </c>
      <c r="B15" s="4">
        <f t="shared" si="2"/>
        <v>19</v>
      </c>
      <c r="C15" s="4">
        <f t="shared" si="1"/>
        <v>19</v>
      </c>
      <c r="D15" s="4">
        <f t="shared" si="1"/>
        <v>19</v>
      </c>
      <c r="E15" s="4">
        <f t="shared" si="1"/>
        <v>18.5456661707311</v>
      </c>
      <c r="F15" s="4">
        <f t="shared" si="1"/>
        <v>17.4472876411593</v>
      </c>
      <c r="G15" s="4">
        <f t="shared" si="1"/>
        <v>17.6008436444096</v>
      </c>
      <c r="H15" s="4">
        <f t="shared" si="1"/>
        <v>17.1240814003344</v>
      </c>
      <c r="I15" s="4">
        <f t="shared" si="1"/>
        <v>16.2018177701773</v>
      </c>
      <c r="J15" s="4">
        <f t="shared" si="1"/>
        <v>15.6837363459189</v>
      </c>
      <c r="K15" s="4">
        <f t="shared" si="1"/>
        <v>15.1519148111213</v>
      </c>
      <c r="L15" s="4">
        <f t="shared" si="1"/>
        <v>14.3118404557639</v>
      </c>
      <c r="M15" s="4">
        <f t="shared" si="1"/>
        <v>14.2098815436539</v>
      </c>
      <c r="N15" s="4">
        <f t="shared" si="1"/>
        <v>13.5215439373418</v>
      </c>
      <c r="O15" s="4">
        <f t="shared" si="1"/>
        <v>12.8077950786273</v>
      </c>
      <c r="P15" s="4">
        <f t="shared" si="1"/>
        <v>11.9639962054887</v>
      </c>
      <c r="Q15" s="4">
        <f t="shared" si="1"/>
        <v>10.3167406188086</v>
      </c>
      <c r="R15" s="4">
        <f t="shared" si="1"/>
        <v>8.09454052817572</v>
      </c>
      <c r="S15" s="4">
        <f t="shared" si="4"/>
        <v>7.38587654105335</v>
      </c>
      <c r="T15" s="4">
        <f t="shared" si="4"/>
        <v>5.84544051790278</v>
      </c>
      <c r="U15" s="4">
        <f t="shared" si="4"/>
        <v>4.2930369969753</v>
      </c>
      <c r="V15" s="4">
        <f t="shared" si="4"/>
        <v>3.99384647425268</v>
      </c>
      <c r="W15" s="4">
        <f t="shared" si="4"/>
        <v>3.09108895029699</v>
      </c>
      <c r="X15" s="4">
        <f t="shared" si="4"/>
        <v>2.63299050166771</v>
      </c>
      <c r="Y15" s="4">
        <f t="shared" si="4"/>
        <v>2.15649129511712</v>
      </c>
      <c r="Z15" s="4">
        <f t="shared" si="4"/>
        <v>2.0820331314321</v>
      </c>
      <c r="AA15" s="4">
        <f t="shared" si="4"/>
        <v>1.85097660686615</v>
      </c>
      <c r="AB15" s="4">
        <f t="shared" si="4"/>
        <v>1.51358499837559</v>
      </c>
      <c r="AC15" s="4">
        <f t="shared" si="4"/>
        <v>1.23725085905129</v>
      </c>
      <c r="AD15" s="4">
        <f t="shared" si="4"/>
        <v>1.1915474214461</v>
      </c>
      <c r="AE15" s="4">
        <f t="shared" si="4"/>
        <v>1.00516339031494</v>
      </c>
      <c r="AF15" s="4">
        <f t="shared" si="4"/>
        <v>0.896460627248514</v>
      </c>
      <c r="AG15" s="4">
        <f t="shared" si="4"/>
        <v>0.814941339770908</v>
      </c>
      <c r="AH15" s="4">
        <f t="shared" si="4"/>
        <v>0.509469604321862</v>
      </c>
      <c r="AI15" s="4">
        <f t="shared" si="3"/>
        <v>0.337093802080755</v>
      </c>
      <c r="AJ15" s="4">
        <f t="shared" si="3"/>
        <v>0.254907408174699</v>
      </c>
    </row>
    <row r="16" spans="1:36">
      <c r="A16" t="str">
        <f>"semis_procurement_archetype_"&amp;TEXT(ROUND(Table26916[[#This Row],[2016]],3),"0.0")</f>
        <v>semis_procurement_archetype_18.9</v>
      </c>
      <c r="B16" s="4">
        <f t="shared" si="2"/>
        <v>18.9</v>
      </c>
      <c r="C16" s="4">
        <f t="shared" si="1"/>
        <v>18.9</v>
      </c>
      <c r="D16" s="4">
        <f t="shared" si="1"/>
        <v>18.9</v>
      </c>
      <c r="E16" s="4">
        <f t="shared" si="1"/>
        <v>18.448089918851</v>
      </c>
      <c r="F16" s="4">
        <f t="shared" si="1"/>
        <v>17.3555709417151</v>
      </c>
      <c r="G16" s="4">
        <f t="shared" si="1"/>
        <v>17.5083077652121</v>
      </c>
      <c r="H16" s="4">
        <f t="shared" si="1"/>
        <v>17.0340889187848</v>
      </c>
      <c r="I16" s="4">
        <f t="shared" si="1"/>
        <v>16.1167453156995</v>
      </c>
      <c r="J16" s="4">
        <f t="shared" si="1"/>
        <v>15.6014277157419</v>
      </c>
      <c r="K16" s="4">
        <f t="shared" si="1"/>
        <v>15.0724433050192</v>
      </c>
      <c r="L16" s="4">
        <f t="shared" si="1"/>
        <v>14.236850519178</v>
      </c>
      <c r="M16" s="4">
        <f t="shared" si="1"/>
        <v>14.1354355302927</v>
      </c>
      <c r="N16" s="4">
        <f t="shared" si="1"/>
        <v>13.4507700189727</v>
      </c>
      <c r="O16" s="4">
        <f t="shared" si="1"/>
        <v>12.7408288174101</v>
      </c>
      <c r="P16" s="4">
        <f t="shared" si="1"/>
        <v>11.9015313830828</v>
      </c>
      <c r="Q16" s="4">
        <f t="shared" si="1"/>
        <v>10.2630634595129</v>
      </c>
      <c r="R16" s="4">
        <f t="shared" si="1"/>
        <v>8.0527182054446</v>
      </c>
      <c r="S16" s="4">
        <f t="shared" si="4"/>
        <v>7.34783474905928</v>
      </c>
      <c r="T16" s="4">
        <f t="shared" si="4"/>
        <v>5.8156165355333</v>
      </c>
      <c r="U16" s="4">
        <f t="shared" si="4"/>
        <v>4.27149466759485</v>
      </c>
      <c r="V16" s="4">
        <f t="shared" si="4"/>
        <v>3.97390024540498</v>
      </c>
      <c r="W16" s="4">
        <f t="shared" si="4"/>
        <v>3.07595868871931</v>
      </c>
      <c r="X16" s="4">
        <f t="shared" si="4"/>
        <v>2.62030407143621</v>
      </c>
      <c r="Y16" s="4">
        <f t="shared" si="4"/>
        <v>2.14634685929944</v>
      </c>
      <c r="Z16" s="4">
        <f t="shared" si="4"/>
        <v>2.07228590978298</v>
      </c>
      <c r="AA16" s="4">
        <f t="shared" si="4"/>
        <v>1.84246200929416</v>
      </c>
      <c r="AB16" s="4">
        <f t="shared" si="4"/>
        <v>1.50687029379872</v>
      </c>
      <c r="AC16" s="4">
        <f t="shared" si="4"/>
        <v>1.23201032238248</v>
      </c>
      <c r="AD16" s="4">
        <f t="shared" si="4"/>
        <v>1.18655070025797</v>
      </c>
      <c r="AE16" s="4">
        <f t="shared" si="4"/>
        <v>1.00116097753162</v>
      </c>
      <c r="AF16" s="4">
        <f t="shared" si="4"/>
        <v>0.893038114311163</v>
      </c>
      <c r="AG16" s="4">
        <f t="shared" si="4"/>
        <v>0.811953710188111</v>
      </c>
      <c r="AH16" s="4">
        <f t="shared" si="4"/>
        <v>0.508111583843168</v>
      </c>
      <c r="AI16" s="4">
        <f t="shared" si="3"/>
        <v>0.336655359893802</v>
      </c>
      <c r="AJ16" s="4">
        <f t="shared" si="3"/>
        <v>0.254907408174699</v>
      </c>
    </row>
    <row r="17" spans="1:36">
      <c r="A17" t="str">
        <f>"semis_procurement_archetype_"&amp;TEXT(ROUND(Table26916[[#This Row],[2016]],3),"0.0")</f>
        <v>semis_procurement_archetype_18.8</v>
      </c>
      <c r="B17" s="4">
        <f t="shared" si="2"/>
        <v>18.8</v>
      </c>
      <c r="C17" s="4">
        <f t="shared" si="1"/>
        <v>18.8</v>
      </c>
      <c r="D17" s="4">
        <f t="shared" si="1"/>
        <v>18.8</v>
      </c>
      <c r="E17" s="4">
        <f t="shared" si="1"/>
        <v>18.350513666971</v>
      </c>
      <c r="F17" s="4">
        <f t="shared" si="1"/>
        <v>17.2638542422709</v>
      </c>
      <c r="G17" s="4">
        <f t="shared" si="1"/>
        <v>17.4157718860146</v>
      </c>
      <c r="H17" s="4">
        <f t="shared" si="1"/>
        <v>16.9440964372352</v>
      </c>
      <c r="I17" s="4">
        <f t="shared" si="1"/>
        <v>16.0316728612217</v>
      </c>
      <c r="J17" s="4">
        <f t="shared" si="1"/>
        <v>15.5191190855649</v>
      </c>
      <c r="K17" s="4">
        <f t="shared" si="1"/>
        <v>14.9929717989172</v>
      </c>
      <c r="L17" s="4">
        <f t="shared" si="1"/>
        <v>14.161860582592</v>
      </c>
      <c r="M17" s="4">
        <f t="shared" si="1"/>
        <v>14.0609895169315</v>
      </c>
      <c r="N17" s="4">
        <f t="shared" si="1"/>
        <v>13.3799961006035</v>
      </c>
      <c r="O17" s="4">
        <f t="shared" si="1"/>
        <v>12.6738625561928</v>
      </c>
      <c r="P17" s="4">
        <f t="shared" si="1"/>
        <v>11.8390665606768</v>
      </c>
      <c r="Q17" s="4">
        <f t="shared" si="1"/>
        <v>10.2093863002173</v>
      </c>
      <c r="R17" s="4">
        <f t="shared" si="1"/>
        <v>8.01089588271348</v>
      </c>
      <c r="S17" s="4">
        <f t="shared" si="4"/>
        <v>7.3097929570652</v>
      </c>
      <c r="T17" s="4">
        <f t="shared" si="4"/>
        <v>5.78579255316383</v>
      </c>
      <c r="U17" s="4">
        <f t="shared" si="4"/>
        <v>4.24995233821441</v>
      </c>
      <c r="V17" s="4">
        <f t="shared" si="4"/>
        <v>3.95395401655729</v>
      </c>
      <c r="W17" s="4">
        <f t="shared" si="4"/>
        <v>3.06082842714163</v>
      </c>
      <c r="X17" s="4">
        <f t="shared" si="4"/>
        <v>2.6076176412047</v>
      </c>
      <c r="Y17" s="4">
        <f t="shared" si="4"/>
        <v>2.13620242348176</v>
      </c>
      <c r="Z17" s="4">
        <f t="shared" si="4"/>
        <v>2.06253868813386</v>
      </c>
      <c r="AA17" s="4">
        <f t="shared" si="4"/>
        <v>1.83394741172217</v>
      </c>
      <c r="AB17" s="4">
        <f t="shared" si="4"/>
        <v>1.50015558922186</v>
      </c>
      <c r="AC17" s="4">
        <f t="shared" si="4"/>
        <v>1.22676978571368</v>
      </c>
      <c r="AD17" s="4">
        <f t="shared" si="4"/>
        <v>1.18155397906983</v>
      </c>
      <c r="AE17" s="4">
        <f t="shared" si="4"/>
        <v>0.997158564748304</v>
      </c>
      <c r="AF17" s="4">
        <f t="shared" si="4"/>
        <v>0.889615601373811</v>
      </c>
      <c r="AG17" s="4">
        <f t="shared" si="4"/>
        <v>0.808966080605313</v>
      </c>
      <c r="AH17" s="4">
        <f t="shared" si="4"/>
        <v>0.506753563364474</v>
      </c>
      <c r="AI17" s="4">
        <f t="shared" si="3"/>
        <v>0.336216917706848</v>
      </c>
      <c r="AJ17" s="4">
        <f t="shared" si="3"/>
        <v>0.254907408174699</v>
      </c>
    </row>
    <row r="18" spans="1:36">
      <c r="A18" t="str">
        <f>"semis_procurement_archetype_"&amp;TEXT(ROUND(Table26916[[#This Row],[2016]],3),"0.0")</f>
        <v>semis_procurement_archetype_18.7</v>
      </c>
      <c r="B18" s="4">
        <f t="shared" si="2"/>
        <v>18.7</v>
      </c>
      <c r="C18" s="4">
        <f t="shared" si="1"/>
        <v>18.7</v>
      </c>
      <c r="D18" s="4">
        <f t="shared" si="1"/>
        <v>18.7</v>
      </c>
      <c r="E18" s="4">
        <f t="shared" si="1"/>
        <v>18.2529374150909</v>
      </c>
      <c r="F18" s="4">
        <f t="shared" si="1"/>
        <v>17.1721375428267</v>
      </c>
      <c r="G18" s="4">
        <f t="shared" si="1"/>
        <v>17.3232360068171</v>
      </c>
      <c r="H18" s="4">
        <f t="shared" si="1"/>
        <v>16.8541039556855</v>
      </c>
      <c r="I18" s="4">
        <f t="shared" si="1"/>
        <v>15.9466004067439</v>
      </c>
      <c r="J18" s="4">
        <f t="shared" si="1"/>
        <v>15.4368104553879</v>
      </c>
      <c r="K18" s="4">
        <f t="shared" si="1"/>
        <v>14.9135002928151</v>
      </c>
      <c r="L18" s="4">
        <f t="shared" si="1"/>
        <v>14.0868706460061</v>
      </c>
      <c r="M18" s="4">
        <f t="shared" si="1"/>
        <v>13.9865435035703</v>
      </c>
      <c r="N18" s="4">
        <f t="shared" si="1"/>
        <v>13.3092221822343</v>
      </c>
      <c r="O18" s="4">
        <f t="shared" si="1"/>
        <v>12.6068962949756</v>
      </c>
      <c r="P18" s="4">
        <f t="shared" si="1"/>
        <v>11.7766017382709</v>
      </c>
      <c r="Q18" s="4">
        <f t="shared" si="1"/>
        <v>10.1557091409216</v>
      </c>
      <c r="R18" s="4">
        <f t="shared" si="1"/>
        <v>7.96907355998235</v>
      </c>
      <c r="S18" s="4">
        <f t="shared" si="4"/>
        <v>7.27175116507113</v>
      </c>
      <c r="T18" s="4">
        <f t="shared" si="4"/>
        <v>5.75596857079435</v>
      </c>
      <c r="U18" s="4">
        <f t="shared" si="4"/>
        <v>4.22841000883396</v>
      </c>
      <c r="V18" s="4">
        <f t="shared" si="4"/>
        <v>3.93400778770959</v>
      </c>
      <c r="W18" s="4">
        <f t="shared" si="4"/>
        <v>3.04569816556394</v>
      </c>
      <c r="X18" s="4">
        <f t="shared" si="4"/>
        <v>2.59493121097319</v>
      </c>
      <c r="Y18" s="4">
        <f t="shared" si="4"/>
        <v>2.12605798766408</v>
      </c>
      <c r="Z18" s="4">
        <f t="shared" si="4"/>
        <v>2.05279146648475</v>
      </c>
      <c r="AA18" s="4">
        <f t="shared" si="4"/>
        <v>1.82543281415017</v>
      </c>
      <c r="AB18" s="4">
        <f t="shared" si="4"/>
        <v>1.49344088464499</v>
      </c>
      <c r="AC18" s="4">
        <f t="shared" si="4"/>
        <v>1.22152924904487</v>
      </c>
      <c r="AD18" s="4">
        <f t="shared" si="4"/>
        <v>1.1765572578817</v>
      </c>
      <c r="AE18" s="4">
        <f t="shared" si="4"/>
        <v>0.993156151964985</v>
      </c>
      <c r="AF18" s="4">
        <f t="shared" si="4"/>
        <v>0.886193088436459</v>
      </c>
      <c r="AG18" s="4">
        <f t="shared" si="4"/>
        <v>0.805978451022515</v>
      </c>
      <c r="AH18" s="4">
        <f t="shared" si="4"/>
        <v>0.50539554288578</v>
      </c>
      <c r="AI18" s="4">
        <f t="shared" si="3"/>
        <v>0.335778475519895</v>
      </c>
      <c r="AJ18" s="4">
        <f t="shared" si="3"/>
        <v>0.254907408174699</v>
      </c>
    </row>
    <row r="19" spans="1:36">
      <c r="A19" t="str">
        <f>"semis_procurement_archetype_"&amp;TEXT(ROUND(Table26916[[#This Row],[2016]],3),"0.0")</f>
        <v>semis_procurement_archetype_18.6</v>
      </c>
      <c r="B19" s="4">
        <f t="shared" si="2"/>
        <v>18.6</v>
      </c>
      <c r="C19" s="4">
        <f t="shared" si="1"/>
        <v>18.6</v>
      </c>
      <c r="D19" s="4">
        <f t="shared" si="1"/>
        <v>18.6</v>
      </c>
      <c r="E19" s="4">
        <f t="shared" si="1"/>
        <v>18.1553611632108</v>
      </c>
      <c r="F19" s="4">
        <f t="shared" si="1"/>
        <v>17.0804208433825</v>
      </c>
      <c r="G19" s="4">
        <f t="shared" si="1"/>
        <v>17.2307001276196</v>
      </c>
      <c r="H19" s="4">
        <f t="shared" si="1"/>
        <v>16.7641114741359</v>
      </c>
      <c r="I19" s="4">
        <f t="shared" si="1"/>
        <v>15.8615279522661</v>
      </c>
      <c r="J19" s="4">
        <f t="shared" si="1"/>
        <v>15.3545018252109</v>
      </c>
      <c r="K19" s="4">
        <f t="shared" si="1"/>
        <v>14.8340287867131</v>
      </c>
      <c r="L19" s="4">
        <f t="shared" si="1"/>
        <v>14.0118807094201</v>
      </c>
      <c r="M19" s="4">
        <f t="shared" si="1"/>
        <v>13.9120974902091</v>
      </c>
      <c r="N19" s="4">
        <f t="shared" si="1"/>
        <v>13.2384482638651</v>
      </c>
      <c r="O19" s="4">
        <f t="shared" si="1"/>
        <v>12.5399300337584</v>
      </c>
      <c r="P19" s="4">
        <f t="shared" si="1"/>
        <v>11.7141369158649</v>
      </c>
      <c r="Q19" s="4">
        <f t="shared" si="1"/>
        <v>10.1020319816259</v>
      </c>
      <c r="R19" s="4">
        <f t="shared" si="1"/>
        <v>7.92725123725123</v>
      </c>
      <c r="S19" s="4">
        <f t="shared" si="4"/>
        <v>7.23370937307706</v>
      </c>
      <c r="T19" s="4">
        <f t="shared" si="4"/>
        <v>5.72614458842487</v>
      </c>
      <c r="U19" s="4">
        <f t="shared" si="4"/>
        <v>4.20686767945352</v>
      </c>
      <c r="V19" s="4">
        <f t="shared" si="4"/>
        <v>3.9140615588619</v>
      </c>
      <c r="W19" s="4">
        <f t="shared" si="4"/>
        <v>3.03056790398626</v>
      </c>
      <c r="X19" s="4">
        <f t="shared" si="4"/>
        <v>2.58224478074169</v>
      </c>
      <c r="Y19" s="4">
        <f t="shared" si="4"/>
        <v>2.1159135518464</v>
      </c>
      <c r="Z19" s="4">
        <f t="shared" si="4"/>
        <v>2.04304424483563</v>
      </c>
      <c r="AA19" s="4">
        <f t="shared" si="4"/>
        <v>1.81691821657818</v>
      </c>
      <c r="AB19" s="4">
        <f t="shared" si="4"/>
        <v>1.48672618006813</v>
      </c>
      <c r="AC19" s="4">
        <f t="shared" si="4"/>
        <v>1.21628871237606</v>
      </c>
      <c r="AD19" s="4">
        <f t="shared" si="4"/>
        <v>1.17156053669356</v>
      </c>
      <c r="AE19" s="4">
        <f t="shared" si="4"/>
        <v>0.989153739181666</v>
      </c>
      <c r="AF19" s="4">
        <f t="shared" si="4"/>
        <v>0.882770575499107</v>
      </c>
      <c r="AG19" s="4">
        <f t="shared" si="4"/>
        <v>0.802990821439717</v>
      </c>
      <c r="AH19" s="4">
        <f t="shared" si="4"/>
        <v>0.504037522407086</v>
      </c>
      <c r="AI19" s="4">
        <f t="shared" si="3"/>
        <v>0.335340033332941</v>
      </c>
      <c r="AJ19" s="4">
        <f t="shared" si="3"/>
        <v>0.254907408174699</v>
      </c>
    </row>
    <row r="20" spans="1:36">
      <c r="A20" t="str">
        <f>"semis_procurement_archetype_"&amp;TEXT(ROUND(Table26916[[#This Row],[2016]],3),"0.0")</f>
        <v>semis_procurement_archetype_18.5</v>
      </c>
      <c r="B20" s="4">
        <f t="shared" si="2"/>
        <v>18.5</v>
      </c>
      <c r="C20" s="4">
        <f t="shared" si="1"/>
        <v>18.5</v>
      </c>
      <c r="D20" s="4">
        <f t="shared" si="1"/>
        <v>18.5</v>
      </c>
      <c r="E20" s="4">
        <f t="shared" si="1"/>
        <v>18.0577849113307</v>
      </c>
      <c r="F20" s="4">
        <f t="shared" si="1"/>
        <v>16.9887041439382</v>
      </c>
      <c r="G20" s="4">
        <f t="shared" si="1"/>
        <v>17.138164248422</v>
      </c>
      <c r="H20" s="4">
        <f t="shared" si="1"/>
        <v>16.6741189925863</v>
      </c>
      <c r="I20" s="4">
        <f t="shared" si="1"/>
        <v>15.7764554977883</v>
      </c>
      <c r="J20" s="4">
        <f t="shared" si="1"/>
        <v>15.2721931950339</v>
      </c>
      <c r="K20" s="4">
        <f t="shared" si="1"/>
        <v>14.754557280611</v>
      </c>
      <c r="L20" s="4">
        <f t="shared" si="1"/>
        <v>13.9368907728341</v>
      </c>
      <c r="M20" s="4">
        <f t="shared" si="1"/>
        <v>13.8376514768479</v>
      </c>
      <c r="N20" s="4">
        <f t="shared" si="1"/>
        <v>13.1676743454959</v>
      </c>
      <c r="O20" s="4">
        <f t="shared" si="1"/>
        <v>12.4729637725412</v>
      </c>
      <c r="P20" s="4">
        <f t="shared" si="1"/>
        <v>11.651672093459</v>
      </c>
      <c r="Q20" s="4">
        <f t="shared" si="1"/>
        <v>10.0483548223303</v>
      </c>
      <c r="R20" s="4">
        <f t="shared" si="1"/>
        <v>7.88542891452011</v>
      </c>
      <c r="S20" s="4">
        <f t="shared" si="4"/>
        <v>7.19566758108298</v>
      </c>
      <c r="T20" s="4">
        <f t="shared" si="4"/>
        <v>5.6963206060554</v>
      </c>
      <c r="U20" s="4">
        <f t="shared" si="4"/>
        <v>4.18532535007307</v>
      </c>
      <c r="V20" s="4">
        <f t="shared" si="4"/>
        <v>3.8941153300142</v>
      </c>
      <c r="W20" s="4">
        <f t="shared" si="4"/>
        <v>3.01543764240857</v>
      </c>
      <c r="X20" s="4">
        <f t="shared" si="4"/>
        <v>2.56955835051018</v>
      </c>
      <c r="Y20" s="4">
        <f t="shared" si="4"/>
        <v>2.10576911602872</v>
      </c>
      <c r="Z20" s="4">
        <f t="shared" si="4"/>
        <v>2.03329702318651</v>
      </c>
      <c r="AA20" s="4">
        <f t="shared" si="4"/>
        <v>1.80840361900619</v>
      </c>
      <c r="AB20" s="4">
        <f t="shared" si="4"/>
        <v>1.48001147549126</v>
      </c>
      <c r="AC20" s="4">
        <f t="shared" si="4"/>
        <v>1.21104817570725</v>
      </c>
      <c r="AD20" s="4">
        <f t="shared" si="4"/>
        <v>1.16656381550542</v>
      </c>
      <c r="AE20" s="4">
        <f t="shared" si="4"/>
        <v>0.985151326398346</v>
      </c>
      <c r="AF20" s="4">
        <f t="shared" si="4"/>
        <v>0.879348062561755</v>
      </c>
      <c r="AG20" s="4">
        <f t="shared" si="4"/>
        <v>0.800003191856919</v>
      </c>
      <c r="AH20" s="4">
        <f t="shared" si="4"/>
        <v>0.502679501928392</v>
      </c>
      <c r="AI20" s="4">
        <f t="shared" si="3"/>
        <v>0.334901591145988</v>
      </c>
      <c r="AJ20" s="4">
        <f t="shared" si="3"/>
        <v>0.254907408174699</v>
      </c>
    </row>
    <row r="21" spans="1:36">
      <c r="A21" t="str">
        <f>"semis_procurement_archetype_"&amp;TEXT(ROUND(Table26916[[#This Row],[2016]],3),"0.0")</f>
        <v>semis_procurement_archetype_18.4</v>
      </c>
      <c r="B21" s="4">
        <f t="shared" si="2"/>
        <v>18.4</v>
      </c>
      <c r="C21" s="4">
        <f t="shared" si="1"/>
        <v>18.4</v>
      </c>
      <c r="D21" s="4">
        <f t="shared" si="1"/>
        <v>18.4</v>
      </c>
      <c r="E21" s="4">
        <f t="shared" si="1"/>
        <v>17.9602086594506</v>
      </c>
      <c r="F21" s="4">
        <f t="shared" si="1"/>
        <v>16.896987444494</v>
      </c>
      <c r="G21" s="4">
        <f t="shared" si="1"/>
        <v>17.0456283692245</v>
      </c>
      <c r="H21" s="4">
        <f t="shared" si="1"/>
        <v>16.5841265110366</v>
      </c>
      <c r="I21" s="4">
        <f t="shared" si="1"/>
        <v>15.6913830433105</v>
      </c>
      <c r="J21" s="4">
        <f t="shared" si="1"/>
        <v>15.1898845648568</v>
      </c>
      <c r="K21" s="4">
        <f t="shared" si="1"/>
        <v>14.675085774509</v>
      </c>
      <c r="L21" s="4">
        <f t="shared" si="1"/>
        <v>13.8619008362482</v>
      </c>
      <c r="M21" s="4">
        <f t="shared" si="1"/>
        <v>13.7632054634867</v>
      </c>
      <c r="N21" s="4">
        <f t="shared" si="1"/>
        <v>13.0969004271267</v>
      </c>
      <c r="O21" s="4">
        <f t="shared" si="1"/>
        <v>12.4059975113239</v>
      </c>
      <c r="P21" s="4">
        <f t="shared" si="1"/>
        <v>11.589207271053</v>
      </c>
      <c r="Q21" s="4">
        <f t="shared" si="1"/>
        <v>9.9946776630346</v>
      </c>
      <c r="R21" s="4">
        <f t="shared" si="1"/>
        <v>7.84360659178899</v>
      </c>
      <c r="S21" s="4">
        <f t="shared" si="4"/>
        <v>7.15762578908891</v>
      </c>
      <c r="T21" s="4">
        <f t="shared" si="4"/>
        <v>5.66649662368592</v>
      </c>
      <c r="U21" s="4">
        <f t="shared" si="4"/>
        <v>4.16378302069262</v>
      </c>
      <c r="V21" s="4">
        <f t="shared" si="4"/>
        <v>3.8741691011665</v>
      </c>
      <c r="W21" s="4">
        <f t="shared" si="4"/>
        <v>3.00030738083089</v>
      </c>
      <c r="X21" s="4">
        <f t="shared" si="4"/>
        <v>2.55687192027868</v>
      </c>
      <c r="Y21" s="4">
        <f t="shared" si="4"/>
        <v>2.09562468021104</v>
      </c>
      <c r="Z21" s="4">
        <f t="shared" si="4"/>
        <v>2.0235498015374</v>
      </c>
      <c r="AA21" s="4">
        <f t="shared" si="4"/>
        <v>1.7998890214342</v>
      </c>
      <c r="AB21" s="4">
        <f t="shared" si="4"/>
        <v>1.4732967709144</v>
      </c>
      <c r="AC21" s="4">
        <f t="shared" si="4"/>
        <v>1.20580763903844</v>
      </c>
      <c r="AD21" s="4">
        <f t="shared" si="4"/>
        <v>1.16156709431729</v>
      </c>
      <c r="AE21" s="4">
        <f t="shared" si="4"/>
        <v>0.981148913615027</v>
      </c>
      <c r="AF21" s="4">
        <f t="shared" si="4"/>
        <v>0.875925549624403</v>
      </c>
      <c r="AG21" s="4">
        <f t="shared" si="4"/>
        <v>0.797015562274122</v>
      </c>
      <c r="AH21" s="4">
        <f t="shared" si="4"/>
        <v>0.501321481449698</v>
      </c>
      <c r="AI21" s="4">
        <f t="shared" si="3"/>
        <v>0.334463148959034</v>
      </c>
      <c r="AJ21" s="4">
        <f t="shared" si="3"/>
        <v>0.254907408174699</v>
      </c>
    </row>
    <row r="22" spans="1:36">
      <c r="A22" t="str">
        <f>"semis_procurement_archetype_"&amp;TEXT(ROUND(Table26916[[#This Row],[2016]],3),"0.0")</f>
        <v>semis_procurement_archetype_18.3</v>
      </c>
      <c r="B22" s="4">
        <f t="shared" si="2"/>
        <v>18.3</v>
      </c>
      <c r="C22" s="4">
        <f t="shared" si="1"/>
        <v>18.3</v>
      </c>
      <c r="D22" s="4">
        <f t="shared" si="1"/>
        <v>18.3</v>
      </c>
      <c r="E22" s="4">
        <f t="shared" si="1"/>
        <v>17.8626324075705</v>
      </c>
      <c r="F22" s="4">
        <f t="shared" si="1"/>
        <v>16.8052707450498</v>
      </c>
      <c r="G22" s="4">
        <f t="shared" si="1"/>
        <v>16.953092490027</v>
      </c>
      <c r="H22" s="4">
        <f t="shared" si="1"/>
        <v>16.494134029487</v>
      </c>
      <c r="I22" s="4">
        <f t="shared" si="1"/>
        <v>15.6063105888327</v>
      </c>
      <c r="J22" s="4">
        <f t="shared" si="1"/>
        <v>15.1075759346798</v>
      </c>
      <c r="K22" s="4">
        <f t="shared" si="1"/>
        <v>14.595614268407</v>
      </c>
      <c r="L22" s="4">
        <f t="shared" si="1"/>
        <v>13.7869108996622</v>
      </c>
      <c r="M22" s="4">
        <f t="shared" si="1"/>
        <v>13.6887594501255</v>
      </c>
      <c r="N22" s="4">
        <f t="shared" si="1"/>
        <v>13.0261265087575</v>
      </c>
      <c r="O22" s="4">
        <f t="shared" si="1"/>
        <v>12.3390312501067</v>
      </c>
      <c r="P22" s="4">
        <f t="shared" si="1"/>
        <v>11.5267424486471</v>
      </c>
      <c r="Q22" s="4">
        <f t="shared" si="1"/>
        <v>9.94100050373894</v>
      </c>
      <c r="R22" s="4">
        <f t="shared" si="1"/>
        <v>7.80178426905786</v>
      </c>
      <c r="S22" s="4">
        <f t="shared" si="4"/>
        <v>7.11958399709484</v>
      </c>
      <c r="T22" s="4">
        <f t="shared" si="4"/>
        <v>5.63667264131644</v>
      </c>
      <c r="U22" s="4">
        <f t="shared" si="4"/>
        <v>4.14224069131218</v>
      </c>
      <c r="V22" s="4">
        <f t="shared" si="4"/>
        <v>3.85422287231881</v>
      </c>
      <c r="W22" s="4">
        <f t="shared" si="4"/>
        <v>2.9851771192532</v>
      </c>
      <c r="X22" s="4">
        <f t="shared" si="4"/>
        <v>2.54418549004717</v>
      </c>
      <c r="Y22" s="4">
        <f t="shared" si="4"/>
        <v>2.08548024439336</v>
      </c>
      <c r="Z22" s="4">
        <f t="shared" si="4"/>
        <v>2.01380257988828</v>
      </c>
      <c r="AA22" s="4">
        <f t="shared" si="4"/>
        <v>1.7913744238622</v>
      </c>
      <c r="AB22" s="4">
        <f t="shared" si="4"/>
        <v>1.46658206633753</v>
      </c>
      <c r="AC22" s="4">
        <f t="shared" si="4"/>
        <v>1.20056710236964</v>
      </c>
      <c r="AD22" s="4">
        <f t="shared" si="4"/>
        <v>1.15657037312915</v>
      </c>
      <c r="AE22" s="4">
        <f t="shared" si="4"/>
        <v>0.977146500831708</v>
      </c>
      <c r="AF22" s="4">
        <f t="shared" si="4"/>
        <v>0.872503036687051</v>
      </c>
      <c r="AG22" s="4">
        <f t="shared" si="4"/>
        <v>0.794027932691324</v>
      </c>
      <c r="AH22" s="4">
        <f t="shared" si="4"/>
        <v>0.499963460971003</v>
      </c>
      <c r="AI22" s="4">
        <f t="shared" si="3"/>
        <v>0.334024706772081</v>
      </c>
      <c r="AJ22" s="4">
        <f t="shared" si="3"/>
        <v>0.254907408174699</v>
      </c>
    </row>
    <row r="23" spans="1:36">
      <c r="A23" t="str">
        <f>"semis_procurement_archetype_"&amp;TEXT(ROUND(Table26916[[#This Row],[2016]],3),"0.0")</f>
        <v>semis_procurement_archetype_18.2</v>
      </c>
      <c r="B23" s="4">
        <f t="shared" si="2"/>
        <v>18.2</v>
      </c>
      <c r="C23" s="4">
        <f t="shared" si="1"/>
        <v>18.2</v>
      </c>
      <c r="D23" s="4">
        <f t="shared" si="1"/>
        <v>18.2</v>
      </c>
      <c r="E23" s="4">
        <f t="shared" si="1"/>
        <v>17.7650561556904</v>
      </c>
      <c r="F23" s="4">
        <f t="shared" si="1"/>
        <v>16.7135540456056</v>
      </c>
      <c r="G23" s="4">
        <f t="shared" si="1"/>
        <v>16.8605566108295</v>
      </c>
      <c r="H23" s="4">
        <f t="shared" si="1"/>
        <v>16.4041415479374</v>
      </c>
      <c r="I23" s="4">
        <f t="shared" si="1"/>
        <v>15.5212381343549</v>
      </c>
      <c r="J23" s="4">
        <f t="shared" si="1"/>
        <v>15.0252673045028</v>
      </c>
      <c r="K23" s="4">
        <f t="shared" si="1"/>
        <v>14.5161427623049</v>
      </c>
      <c r="L23" s="4">
        <f t="shared" si="1"/>
        <v>13.7119209630763</v>
      </c>
      <c r="M23" s="4">
        <f t="shared" si="1"/>
        <v>13.6143134367643</v>
      </c>
      <c r="N23" s="4">
        <f t="shared" si="1"/>
        <v>12.9553525903883</v>
      </c>
      <c r="O23" s="4">
        <f t="shared" si="1"/>
        <v>12.2720649888895</v>
      </c>
      <c r="P23" s="4">
        <f t="shared" si="1"/>
        <v>11.4642776262411</v>
      </c>
      <c r="Q23" s="4">
        <f t="shared" si="1"/>
        <v>9.88732334444327</v>
      </c>
      <c r="R23" s="4">
        <f t="shared" si="1"/>
        <v>7.75996194632674</v>
      </c>
      <c r="S23" s="4">
        <f t="shared" si="4"/>
        <v>7.08154220510076</v>
      </c>
      <c r="T23" s="4">
        <f t="shared" si="4"/>
        <v>5.60684865894696</v>
      </c>
      <c r="U23" s="4">
        <f t="shared" si="4"/>
        <v>4.12069836193173</v>
      </c>
      <c r="V23" s="4">
        <f t="shared" si="4"/>
        <v>3.83427664347111</v>
      </c>
      <c r="W23" s="4">
        <f t="shared" si="4"/>
        <v>2.97004685767552</v>
      </c>
      <c r="X23" s="4">
        <f t="shared" si="4"/>
        <v>2.53149905981567</v>
      </c>
      <c r="Y23" s="4">
        <f t="shared" si="4"/>
        <v>2.07533580857568</v>
      </c>
      <c r="Z23" s="4">
        <f t="shared" si="4"/>
        <v>2.00405535823916</v>
      </c>
      <c r="AA23" s="4">
        <f t="shared" si="4"/>
        <v>1.78285982629021</v>
      </c>
      <c r="AB23" s="4">
        <f t="shared" si="4"/>
        <v>1.45986736176067</v>
      </c>
      <c r="AC23" s="4">
        <f t="shared" si="4"/>
        <v>1.19532656570083</v>
      </c>
      <c r="AD23" s="4">
        <f t="shared" si="4"/>
        <v>1.15157365194102</v>
      </c>
      <c r="AE23" s="4">
        <f t="shared" si="4"/>
        <v>0.973144088048389</v>
      </c>
      <c r="AF23" s="4">
        <f t="shared" si="4"/>
        <v>0.869080523749699</v>
      </c>
      <c r="AG23" s="4">
        <f t="shared" si="4"/>
        <v>0.791040303108526</v>
      </c>
      <c r="AH23" s="4">
        <f t="shared" si="4"/>
        <v>0.498605440492309</v>
      </c>
      <c r="AI23" s="4">
        <f t="shared" si="3"/>
        <v>0.333586264585127</v>
      </c>
      <c r="AJ23" s="4">
        <f t="shared" si="3"/>
        <v>0.254907408174699</v>
      </c>
    </row>
    <row r="24" spans="1:36">
      <c r="A24" t="str">
        <f>"semis_procurement_archetype_"&amp;TEXT(ROUND(Table26916[[#This Row],[2016]],3),"0.0")</f>
        <v>semis_procurement_archetype_18.1</v>
      </c>
      <c r="B24" s="4">
        <f t="shared" si="2"/>
        <v>18.1</v>
      </c>
      <c r="C24" s="4">
        <f t="shared" si="1"/>
        <v>18.1</v>
      </c>
      <c r="D24" s="4">
        <f t="shared" si="1"/>
        <v>18.1</v>
      </c>
      <c r="E24" s="4">
        <f t="shared" si="1"/>
        <v>17.6674799038103</v>
      </c>
      <c r="F24" s="4">
        <f t="shared" si="1"/>
        <v>16.6218373461614</v>
      </c>
      <c r="G24" s="4">
        <f t="shared" si="1"/>
        <v>16.768020731632</v>
      </c>
      <c r="H24" s="4">
        <f t="shared" si="1"/>
        <v>16.3141490663877</v>
      </c>
      <c r="I24" s="4">
        <f t="shared" si="1"/>
        <v>15.4361656798771</v>
      </c>
      <c r="J24" s="4">
        <f t="shared" si="1"/>
        <v>14.9429586743258</v>
      </c>
      <c r="K24" s="4">
        <f t="shared" si="1"/>
        <v>14.4366712562029</v>
      </c>
      <c r="L24" s="4">
        <f t="shared" si="1"/>
        <v>13.6369310264903</v>
      </c>
      <c r="M24" s="4">
        <f t="shared" si="1"/>
        <v>13.5398674234031</v>
      </c>
      <c r="N24" s="4">
        <f t="shared" si="1"/>
        <v>12.8845786720192</v>
      </c>
      <c r="O24" s="4">
        <f t="shared" si="1"/>
        <v>12.2050987276723</v>
      </c>
      <c r="P24" s="4">
        <f t="shared" si="1"/>
        <v>11.4018128038352</v>
      </c>
      <c r="Q24" s="4">
        <f t="shared" si="1"/>
        <v>9.83364618514761</v>
      </c>
      <c r="R24" s="4">
        <f t="shared" si="1"/>
        <v>7.71813962359562</v>
      </c>
      <c r="S24" s="4">
        <f t="shared" si="4"/>
        <v>7.04350041310669</v>
      </c>
      <c r="T24" s="4">
        <f t="shared" si="4"/>
        <v>5.57702467657749</v>
      </c>
      <c r="U24" s="4">
        <f t="shared" si="4"/>
        <v>4.09915603255129</v>
      </c>
      <c r="V24" s="4">
        <f t="shared" si="4"/>
        <v>3.81433041462342</v>
      </c>
      <c r="W24" s="4">
        <f t="shared" si="4"/>
        <v>2.95491659609784</v>
      </c>
      <c r="X24" s="4">
        <f t="shared" si="4"/>
        <v>2.51881262958416</v>
      </c>
      <c r="Y24" s="4">
        <f t="shared" si="4"/>
        <v>2.065191372758</v>
      </c>
      <c r="Z24" s="4">
        <f t="shared" si="4"/>
        <v>1.99430813659004</v>
      </c>
      <c r="AA24" s="4">
        <f t="shared" si="4"/>
        <v>1.77434522871822</v>
      </c>
      <c r="AB24" s="4">
        <f t="shared" si="4"/>
        <v>1.4531526571838</v>
      </c>
      <c r="AC24" s="4">
        <f t="shared" si="4"/>
        <v>1.19008602903202</v>
      </c>
      <c r="AD24" s="4">
        <f t="shared" si="4"/>
        <v>1.14657693075288</v>
      </c>
      <c r="AE24" s="4">
        <f t="shared" si="4"/>
        <v>0.96914167526507</v>
      </c>
      <c r="AF24" s="4">
        <f t="shared" si="4"/>
        <v>0.865658010812347</v>
      </c>
      <c r="AG24" s="4">
        <f t="shared" si="4"/>
        <v>0.788052673525728</v>
      </c>
      <c r="AH24" s="4">
        <f t="shared" si="4"/>
        <v>0.497247420013615</v>
      </c>
      <c r="AI24" s="4">
        <f t="shared" si="3"/>
        <v>0.333147822398174</v>
      </c>
      <c r="AJ24" s="4">
        <f t="shared" si="3"/>
        <v>0.254907408174699</v>
      </c>
    </row>
    <row r="25" spans="1:36">
      <c r="A25" t="str">
        <f>"semis_procurement_archetype_"&amp;TEXT(ROUND(Table26916[[#This Row],[2016]],3),"0.0")</f>
        <v>semis_procurement_archetype_18.0</v>
      </c>
      <c r="B25" s="4">
        <f t="shared" si="2"/>
        <v>18</v>
      </c>
      <c r="C25" s="4">
        <f t="shared" si="1"/>
        <v>18</v>
      </c>
      <c r="D25" s="4">
        <f t="shared" si="1"/>
        <v>18</v>
      </c>
      <c r="E25" s="4">
        <f t="shared" si="1"/>
        <v>17.5699036519302</v>
      </c>
      <c r="F25" s="4">
        <f t="shared" si="1"/>
        <v>16.5301206467172</v>
      </c>
      <c r="G25" s="4">
        <f t="shared" si="1"/>
        <v>16.6754848524344</v>
      </c>
      <c r="H25" s="4">
        <f t="shared" si="1"/>
        <v>16.2241565848381</v>
      </c>
      <c r="I25" s="4">
        <f t="shared" si="1"/>
        <v>15.3510932253993</v>
      </c>
      <c r="J25" s="4">
        <f t="shared" si="1"/>
        <v>14.8606500441488</v>
      </c>
      <c r="K25" s="4">
        <f t="shared" si="1"/>
        <v>14.3571997501008</v>
      </c>
      <c r="L25" s="4">
        <f t="shared" si="1"/>
        <v>13.5619410899043</v>
      </c>
      <c r="M25" s="4">
        <f t="shared" si="1"/>
        <v>13.4654214100419</v>
      </c>
      <c r="N25" s="4">
        <f t="shared" si="1"/>
        <v>12.81380475365</v>
      </c>
      <c r="O25" s="4">
        <f t="shared" si="1"/>
        <v>12.138132466455</v>
      </c>
      <c r="P25" s="4">
        <f t="shared" si="1"/>
        <v>11.3393479814292</v>
      </c>
      <c r="Q25" s="4">
        <f t="shared" si="1"/>
        <v>9.77996902585194</v>
      </c>
      <c r="R25" s="4">
        <f t="shared" si="1"/>
        <v>7.67631730086449</v>
      </c>
      <c r="S25" s="4">
        <f t="shared" si="4"/>
        <v>7.00545862111262</v>
      </c>
      <c r="T25" s="4">
        <f t="shared" si="4"/>
        <v>5.54720069420801</v>
      </c>
      <c r="U25" s="4">
        <f t="shared" si="4"/>
        <v>4.07761370317084</v>
      </c>
      <c r="V25" s="4">
        <f t="shared" si="4"/>
        <v>3.79438418577572</v>
      </c>
      <c r="W25" s="4">
        <f t="shared" si="4"/>
        <v>2.93978633452015</v>
      </c>
      <c r="X25" s="4">
        <f t="shared" si="4"/>
        <v>2.50612619935266</v>
      </c>
      <c r="Y25" s="4">
        <f t="shared" si="4"/>
        <v>2.05504693694032</v>
      </c>
      <c r="Z25" s="4">
        <f t="shared" si="4"/>
        <v>1.98456091494093</v>
      </c>
      <c r="AA25" s="4">
        <f t="shared" si="4"/>
        <v>1.76583063114622</v>
      </c>
      <c r="AB25" s="4">
        <f t="shared" si="4"/>
        <v>1.44643795260694</v>
      </c>
      <c r="AC25" s="4">
        <f t="shared" si="4"/>
        <v>1.18484549236321</v>
      </c>
      <c r="AD25" s="4">
        <f t="shared" si="4"/>
        <v>1.14158020956475</v>
      </c>
      <c r="AE25" s="4">
        <f t="shared" si="4"/>
        <v>0.96513926248175</v>
      </c>
      <c r="AF25" s="4">
        <f t="shared" si="4"/>
        <v>0.862235497874995</v>
      </c>
      <c r="AG25" s="4">
        <f t="shared" si="4"/>
        <v>0.78506504394293</v>
      </c>
      <c r="AH25" s="4">
        <f t="shared" si="4"/>
        <v>0.495889399534921</v>
      </c>
      <c r="AI25" s="4">
        <f t="shared" si="3"/>
        <v>0.33270938021122</v>
      </c>
      <c r="AJ25" s="4">
        <f t="shared" si="3"/>
        <v>0.254907408174699</v>
      </c>
    </row>
    <row r="26" spans="1:36">
      <c r="A26" t="str">
        <f>"semis_procurement_archetype_"&amp;TEXT(ROUND(Table26916[[#This Row],[2016]],3),"0.0")</f>
        <v>semis_procurement_archetype_17.9</v>
      </c>
      <c r="B26" s="4">
        <f t="shared" si="2"/>
        <v>17.9</v>
      </c>
      <c r="C26" s="4">
        <f t="shared" si="1"/>
        <v>17.9</v>
      </c>
      <c r="D26" s="4">
        <f t="shared" si="1"/>
        <v>17.9</v>
      </c>
      <c r="E26" s="4">
        <f t="shared" si="1"/>
        <v>17.4723274000501</v>
      </c>
      <c r="F26" s="4">
        <f t="shared" si="1"/>
        <v>16.4384039472729</v>
      </c>
      <c r="G26" s="4">
        <f t="shared" si="1"/>
        <v>16.5829489732369</v>
      </c>
      <c r="H26" s="4">
        <f t="shared" si="1"/>
        <v>16.1341641032885</v>
      </c>
      <c r="I26" s="4">
        <f t="shared" si="1"/>
        <v>15.2660207709215</v>
      </c>
      <c r="J26" s="4">
        <f t="shared" si="1"/>
        <v>14.7783414139718</v>
      </c>
      <c r="K26" s="4">
        <f t="shared" si="1"/>
        <v>14.2777282439988</v>
      </c>
      <c r="L26" s="4">
        <f t="shared" si="1"/>
        <v>13.4869511533184</v>
      </c>
      <c r="M26" s="4">
        <f t="shared" si="1"/>
        <v>13.3909753966807</v>
      </c>
      <c r="N26" s="4">
        <f t="shared" si="1"/>
        <v>12.7430308352808</v>
      </c>
      <c r="O26" s="4">
        <f t="shared" si="1"/>
        <v>12.0711662052378</v>
      </c>
      <c r="P26" s="4">
        <f t="shared" si="1"/>
        <v>11.2768831590233</v>
      </c>
      <c r="Q26" s="4">
        <f t="shared" si="1"/>
        <v>9.72629186655628</v>
      </c>
      <c r="R26" s="4">
        <f t="shared" si="1"/>
        <v>7.63449497813337</v>
      </c>
      <c r="S26" s="4">
        <f t="shared" si="4"/>
        <v>6.96741682911854</v>
      </c>
      <c r="T26" s="4">
        <f t="shared" si="4"/>
        <v>5.51737671183853</v>
      </c>
      <c r="U26" s="4">
        <f t="shared" si="4"/>
        <v>4.05607137379039</v>
      </c>
      <c r="V26" s="4">
        <f t="shared" si="4"/>
        <v>3.77443795692802</v>
      </c>
      <c r="W26" s="4">
        <f t="shared" si="4"/>
        <v>2.92465607294247</v>
      </c>
      <c r="X26" s="4">
        <f t="shared" si="4"/>
        <v>2.49343976912115</v>
      </c>
      <c r="Y26" s="4">
        <f t="shared" si="4"/>
        <v>2.04490250112264</v>
      </c>
      <c r="Z26" s="4">
        <f t="shared" si="4"/>
        <v>1.97481369329181</v>
      </c>
      <c r="AA26" s="4">
        <f t="shared" si="4"/>
        <v>1.75731603357423</v>
      </c>
      <c r="AB26" s="4">
        <f t="shared" si="4"/>
        <v>1.43972324803007</v>
      </c>
      <c r="AC26" s="4">
        <f t="shared" si="4"/>
        <v>1.17960495569441</v>
      </c>
      <c r="AD26" s="4">
        <f t="shared" si="4"/>
        <v>1.13658348837661</v>
      </c>
      <c r="AE26" s="4">
        <f t="shared" si="4"/>
        <v>0.961136849698431</v>
      </c>
      <c r="AF26" s="4">
        <f t="shared" si="4"/>
        <v>0.858812984937644</v>
      </c>
      <c r="AG26" s="4">
        <f t="shared" si="4"/>
        <v>0.782077414360133</v>
      </c>
      <c r="AH26" s="4">
        <f t="shared" si="4"/>
        <v>0.494531379056227</v>
      </c>
      <c r="AI26" s="4">
        <f t="shared" si="3"/>
        <v>0.332270938024267</v>
      </c>
      <c r="AJ26" s="4">
        <f t="shared" si="3"/>
        <v>0.254907408174699</v>
      </c>
    </row>
    <row r="27" spans="1:36">
      <c r="A27" t="str">
        <f>"semis_procurement_archetype_"&amp;TEXT(ROUND(Table26916[[#This Row],[2016]],3),"0.0")</f>
        <v>semis_procurement_archetype_17.8</v>
      </c>
      <c r="B27" s="4">
        <f t="shared" si="2"/>
        <v>17.8</v>
      </c>
      <c r="C27" s="4">
        <f t="shared" si="1"/>
        <v>17.8</v>
      </c>
      <c r="D27" s="4">
        <f t="shared" si="1"/>
        <v>17.8</v>
      </c>
      <c r="E27" s="4">
        <f t="shared" si="1"/>
        <v>17.37475114817</v>
      </c>
      <c r="F27" s="4">
        <f t="shared" si="1"/>
        <v>16.3466872478287</v>
      </c>
      <c r="G27" s="4">
        <f t="shared" si="1"/>
        <v>16.4904130940394</v>
      </c>
      <c r="H27" s="4">
        <f t="shared" si="1"/>
        <v>16.0441716217388</v>
      </c>
      <c r="I27" s="4">
        <f t="shared" si="1"/>
        <v>15.1809483164437</v>
      </c>
      <c r="J27" s="4">
        <f t="shared" si="1"/>
        <v>14.6960327837948</v>
      </c>
      <c r="K27" s="4">
        <f t="shared" si="1"/>
        <v>14.1982567378967</v>
      </c>
      <c r="L27" s="4">
        <f t="shared" si="1"/>
        <v>13.4119612167324</v>
      </c>
      <c r="M27" s="4">
        <f t="shared" si="1"/>
        <v>13.3165293833195</v>
      </c>
      <c r="N27" s="4">
        <f t="shared" si="1"/>
        <v>12.6722569169116</v>
      </c>
      <c r="O27" s="4">
        <f t="shared" si="1"/>
        <v>12.0041999440206</v>
      </c>
      <c r="P27" s="4">
        <f t="shared" si="1"/>
        <v>11.2144183366173</v>
      </c>
      <c r="Q27" s="4">
        <f t="shared" si="1"/>
        <v>9.67261470726062</v>
      </c>
      <c r="R27" s="4">
        <f t="shared" si="1"/>
        <v>7.59267265540225</v>
      </c>
      <c r="S27" s="4">
        <f t="shared" si="4"/>
        <v>6.92937503712447</v>
      </c>
      <c r="T27" s="4">
        <f t="shared" si="4"/>
        <v>5.48755272946906</v>
      </c>
      <c r="U27" s="4">
        <f t="shared" si="4"/>
        <v>4.03452904440995</v>
      </c>
      <c r="V27" s="4">
        <f t="shared" si="4"/>
        <v>3.75449172808033</v>
      </c>
      <c r="W27" s="4">
        <f t="shared" si="4"/>
        <v>2.90952581136478</v>
      </c>
      <c r="X27" s="4">
        <f t="shared" si="4"/>
        <v>2.48075333888965</v>
      </c>
      <c r="Y27" s="4">
        <f t="shared" si="4"/>
        <v>2.03475806530496</v>
      </c>
      <c r="Z27" s="4">
        <f t="shared" si="4"/>
        <v>1.96506647164269</v>
      </c>
      <c r="AA27" s="4">
        <f t="shared" si="4"/>
        <v>1.74880143600224</v>
      </c>
      <c r="AB27" s="4">
        <f t="shared" si="4"/>
        <v>1.43300854345321</v>
      </c>
      <c r="AC27" s="4">
        <f t="shared" si="4"/>
        <v>1.1743644190256</v>
      </c>
      <c r="AD27" s="4">
        <f t="shared" si="4"/>
        <v>1.13158676718847</v>
      </c>
      <c r="AE27" s="4">
        <f t="shared" si="4"/>
        <v>0.957134436915112</v>
      </c>
      <c r="AF27" s="4">
        <f t="shared" si="4"/>
        <v>0.855390472000292</v>
      </c>
      <c r="AG27" s="4">
        <f t="shared" si="4"/>
        <v>0.779089784777335</v>
      </c>
      <c r="AH27" s="4">
        <f t="shared" si="4"/>
        <v>0.493173358577533</v>
      </c>
      <c r="AI27" s="4">
        <f t="shared" si="3"/>
        <v>0.331832495837313</v>
      </c>
      <c r="AJ27" s="4">
        <f t="shared" si="3"/>
        <v>0.254907408174699</v>
      </c>
    </row>
    <row r="28" spans="1:36">
      <c r="A28" t="str">
        <f>"semis_procurement_archetype_"&amp;TEXT(ROUND(Table26916[[#This Row],[2016]],3),"0.0")</f>
        <v>semis_procurement_archetype_17.7</v>
      </c>
      <c r="B28" s="4">
        <f t="shared" si="2"/>
        <v>17.7</v>
      </c>
      <c r="C28" s="4">
        <f t="shared" si="1"/>
        <v>17.7</v>
      </c>
      <c r="D28" s="4">
        <f t="shared" si="1"/>
        <v>17.7</v>
      </c>
      <c r="E28" s="4">
        <f t="shared" si="1"/>
        <v>17.2771748962899</v>
      </c>
      <c r="F28" s="4">
        <f t="shared" si="1"/>
        <v>16.2549705483845</v>
      </c>
      <c r="G28" s="4">
        <f t="shared" si="1"/>
        <v>16.3978772148419</v>
      </c>
      <c r="H28" s="4">
        <f t="shared" si="1"/>
        <v>15.9541791401892</v>
      </c>
      <c r="I28" s="4">
        <f t="shared" si="1"/>
        <v>15.0958758619659</v>
      </c>
      <c r="J28" s="4">
        <f t="shared" si="1"/>
        <v>14.6137241536177</v>
      </c>
      <c r="K28" s="4">
        <f t="shared" ref="K28:Z43" si="5">(($B28-$AJ$2)*((K$2-$AJ$2)/($B$2-$AJ$2)))+$AJ$2</f>
        <v>14.1187852317947</v>
      </c>
      <c r="L28" s="4">
        <f t="shared" si="5"/>
        <v>13.3369712801465</v>
      </c>
      <c r="M28" s="4">
        <f t="shared" si="5"/>
        <v>13.2420833699583</v>
      </c>
      <c r="N28" s="4">
        <f t="shared" si="5"/>
        <v>12.6014829985424</v>
      </c>
      <c r="O28" s="4">
        <f t="shared" si="5"/>
        <v>11.9372336828034</v>
      </c>
      <c r="P28" s="4">
        <f t="shared" si="5"/>
        <v>11.1519535142114</v>
      </c>
      <c r="Q28" s="4">
        <f t="shared" si="5"/>
        <v>9.61893754796495</v>
      </c>
      <c r="R28" s="4">
        <f t="shared" si="5"/>
        <v>7.55085033267112</v>
      </c>
      <c r="S28" s="4">
        <f t="shared" si="5"/>
        <v>6.8913332451304</v>
      </c>
      <c r="T28" s="4">
        <f t="shared" si="5"/>
        <v>5.45772874709958</v>
      </c>
      <c r="U28" s="4">
        <f t="shared" si="5"/>
        <v>4.0129867150295</v>
      </c>
      <c r="V28" s="4">
        <f t="shared" si="5"/>
        <v>3.73454549923263</v>
      </c>
      <c r="W28" s="4">
        <f t="shared" si="5"/>
        <v>2.8943955497871</v>
      </c>
      <c r="X28" s="4">
        <f t="shared" si="5"/>
        <v>2.46806690865814</v>
      </c>
      <c r="Y28" s="4">
        <f t="shared" si="5"/>
        <v>2.02461362948728</v>
      </c>
      <c r="Z28" s="4">
        <f t="shared" si="5"/>
        <v>1.95531924999358</v>
      </c>
      <c r="AA28" s="4">
        <f t="shared" si="4"/>
        <v>1.74028683843024</v>
      </c>
      <c r="AB28" s="4">
        <f t="shared" si="4"/>
        <v>1.42629383887634</v>
      </c>
      <c r="AC28" s="4">
        <f t="shared" si="4"/>
        <v>1.16912388235679</v>
      </c>
      <c r="AD28" s="4">
        <f t="shared" si="4"/>
        <v>1.12659004600034</v>
      </c>
      <c r="AE28" s="4">
        <f t="shared" si="4"/>
        <v>0.953132024131793</v>
      </c>
      <c r="AF28" s="4">
        <f t="shared" si="4"/>
        <v>0.85196795906294</v>
      </c>
      <c r="AG28" s="4">
        <f t="shared" si="4"/>
        <v>0.776102155194537</v>
      </c>
      <c r="AH28" s="4">
        <f t="shared" si="4"/>
        <v>0.491815338098839</v>
      </c>
      <c r="AI28" s="4">
        <f t="shared" si="3"/>
        <v>0.33139405365036</v>
      </c>
      <c r="AJ28" s="4">
        <f t="shared" si="3"/>
        <v>0.254907408174699</v>
      </c>
    </row>
    <row r="29" spans="1:36">
      <c r="A29" t="str">
        <f>"semis_procurement_archetype_"&amp;TEXT(ROUND(Table26916[[#This Row],[2016]],3),"0.0")</f>
        <v>semis_procurement_archetype_17.6</v>
      </c>
      <c r="B29" s="4">
        <f t="shared" si="2"/>
        <v>17.6</v>
      </c>
      <c r="C29" s="4">
        <f t="shared" ref="C29:R44" si="6">(($B29-$AJ$2)*((C$2-$AJ$2)/($B$2-$AJ$2)))+$AJ$2</f>
        <v>17.6</v>
      </c>
      <c r="D29" s="4">
        <f t="shared" si="6"/>
        <v>17.6</v>
      </c>
      <c r="E29" s="4">
        <f t="shared" si="6"/>
        <v>17.1795986444098</v>
      </c>
      <c r="F29" s="4">
        <f t="shared" si="6"/>
        <v>16.1632538489403</v>
      </c>
      <c r="G29" s="4">
        <f t="shared" si="6"/>
        <v>16.3053413356443</v>
      </c>
      <c r="H29" s="4">
        <f t="shared" si="6"/>
        <v>15.8641866586396</v>
      </c>
      <c r="I29" s="4">
        <f t="shared" si="6"/>
        <v>15.0108034074881</v>
      </c>
      <c r="J29" s="4">
        <f t="shared" si="6"/>
        <v>14.5314155234407</v>
      </c>
      <c r="K29" s="4">
        <f t="shared" si="6"/>
        <v>14.0393137256926</v>
      </c>
      <c r="L29" s="4">
        <f t="shared" si="6"/>
        <v>13.2619813435605</v>
      </c>
      <c r="M29" s="4">
        <f t="shared" si="6"/>
        <v>13.1676373565971</v>
      </c>
      <c r="N29" s="4">
        <f t="shared" si="6"/>
        <v>12.5307090801732</v>
      </c>
      <c r="O29" s="4">
        <f t="shared" si="6"/>
        <v>11.8702674215861</v>
      </c>
      <c r="P29" s="4">
        <f t="shared" si="6"/>
        <v>11.0894886918054</v>
      </c>
      <c r="Q29" s="4">
        <f t="shared" si="6"/>
        <v>9.56526038866929</v>
      </c>
      <c r="R29" s="4">
        <f t="shared" si="6"/>
        <v>7.50902800994</v>
      </c>
      <c r="S29" s="4">
        <f t="shared" si="5"/>
        <v>6.85329145313632</v>
      </c>
      <c r="T29" s="4">
        <f t="shared" si="5"/>
        <v>5.4279047647301</v>
      </c>
      <c r="U29" s="4">
        <f t="shared" si="5"/>
        <v>3.99144438564906</v>
      </c>
      <c r="V29" s="4">
        <f t="shared" si="5"/>
        <v>3.71459927038494</v>
      </c>
      <c r="W29" s="4">
        <f t="shared" si="5"/>
        <v>2.87926528820941</v>
      </c>
      <c r="X29" s="4">
        <f t="shared" si="5"/>
        <v>2.45538047842663</v>
      </c>
      <c r="Y29" s="4">
        <f t="shared" si="5"/>
        <v>2.0144691936696</v>
      </c>
      <c r="Z29" s="4">
        <f t="shared" si="5"/>
        <v>1.94557202834446</v>
      </c>
      <c r="AA29" s="4">
        <f t="shared" si="4"/>
        <v>1.73177224085825</v>
      </c>
      <c r="AB29" s="4">
        <f t="shared" si="4"/>
        <v>1.41957913429948</v>
      </c>
      <c r="AC29" s="4">
        <f t="shared" si="4"/>
        <v>1.16388334568798</v>
      </c>
      <c r="AD29" s="4">
        <f t="shared" si="4"/>
        <v>1.1215933248122</v>
      </c>
      <c r="AE29" s="4">
        <f t="shared" si="4"/>
        <v>0.949129611348473</v>
      </c>
      <c r="AF29" s="4">
        <f t="shared" si="4"/>
        <v>0.848545446125588</v>
      </c>
      <c r="AG29" s="4">
        <f t="shared" si="4"/>
        <v>0.773114525611739</v>
      </c>
      <c r="AH29" s="4">
        <f t="shared" ref="AH29:AJ29" si="7">(($B29-$AJ$2)*((AH$2-$AJ$2)/($B$2-$AJ$2)))+$AJ$2</f>
        <v>0.490457317620145</v>
      </c>
      <c r="AI29" s="4">
        <f t="shared" si="7"/>
        <v>0.330955611463406</v>
      </c>
      <c r="AJ29" s="4">
        <f t="shared" si="7"/>
        <v>0.254907408174699</v>
      </c>
    </row>
    <row r="30" spans="1:36">
      <c r="A30" t="str">
        <f>"semis_procurement_archetype_"&amp;TEXT(ROUND(Table26916[[#This Row],[2016]],3),"0.0")</f>
        <v>semis_procurement_archetype_17.5</v>
      </c>
      <c r="B30" s="4">
        <f t="shared" si="2"/>
        <v>17.5</v>
      </c>
      <c r="C30" s="4">
        <f t="shared" si="6"/>
        <v>17.5</v>
      </c>
      <c r="D30" s="4">
        <f t="shared" si="6"/>
        <v>17.5</v>
      </c>
      <c r="E30" s="4">
        <f t="shared" si="6"/>
        <v>17.0820223925297</v>
      </c>
      <c r="F30" s="4">
        <f t="shared" si="6"/>
        <v>16.0715371494961</v>
      </c>
      <c r="G30" s="4">
        <f t="shared" si="6"/>
        <v>16.2128054564468</v>
      </c>
      <c r="H30" s="4">
        <f t="shared" si="6"/>
        <v>15.7741941770899</v>
      </c>
      <c r="I30" s="4">
        <f t="shared" si="6"/>
        <v>14.9257309530103</v>
      </c>
      <c r="J30" s="4">
        <f t="shared" si="6"/>
        <v>14.4491068932637</v>
      </c>
      <c r="K30" s="4">
        <f t="shared" si="6"/>
        <v>13.9598422195906</v>
      </c>
      <c r="L30" s="4">
        <f t="shared" si="6"/>
        <v>13.1869914069745</v>
      </c>
      <c r="M30" s="4">
        <f t="shared" si="6"/>
        <v>13.0931913432359</v>
      </c>
      <c r="N30" s="4">
        <f t="shared" si="6"/>
        <v>12.459935161804</v>
      </c>
      <c r="O30" s="4">
        <f t="shared" si="6"/>
        <v>11.8033011603689</v>
      </c>
      <c r="P30" s="4">
        <f t="shared" si="6"/>
        <v>11.0270238693995</v>
      </c>
      <c r="Q30" s="4">
        <f t="shared" si="6"/>
        <v>9.51158322937362</v>
      </c>
      <c r="R30" s="4">
        <f t="shared" si="6"/>
        <v>7.46720568720888</v>
      </c>
      <c r="S30" s="4">
        <f t="shared" si="5"/>
        <v>6.81524966114225</v>
      </c>
      <c r="T30" s="4">
        <f t="shared" si="5"/>
        <v>5.39808078236063</v>
      </c>
      <c r="U30" s="4">
        <f t="shared" si="5"/>
        <v>3.96990205626861</v>
      </c>
      <c r="V30" s="4">
        <f t="shared" si="5"/>
        <v>3.69465304153724</v>
      </c>
      <c r="W30" s="4">
        <f t="shared" si="5"/>
        <v>2.86413502663173</v>
      </c>
      <c r="X30" s="4">
        <f t="shared" si="5"/>
        <v>2.44269404819513</v>
      </c>
      <c r="Y30" s="4">
        <f t="shared" si="5"/>
        <v>2.00432475785192</v>
      </c>
      <c r="Z30" s="4">
        <f t="shared" si="5"/>
        <v>1.93582480669534</v>
      </c>
      <c r="AA30" s="4">
        <f t="shared" ref="AA30:AJ82" si="8">(($B30-$AJ$2)*((AA$2-$AJ$2)/($B$2-$AJ$2)))+$AJ$2</f>
        <v>1.72325764328626</v>
      </c>
      <c r="AB30" s="4">
        <f t="shared" si="8"/>
        <v>1.41286442972261</v>
      </c>
      <c r="AC30" s="4">
        <f t="shared" si="8"/>
        <v>1.15864280901917</v>
      </c>
      <c r="AD30" s="4">
        <f t="shared" si="8"/>
        <v>1.11659660362407</v>
      </c>
      <c r="AE30" s="4">
        <f t="shared" si="8"/>
        <v>0.945127198565154</v>
      </c>
      <c r="AF30" s="4">
        <f t="shared" si="8"/>
        <v>0.845122933188236</v>
      </c>
      <c r="AG30" s="4">
        <f t="shared" si="8"/>
        <v>0.770126896028941</v>
      </c>
      <c r="AH30" s="4">
        <f t="shared" si="8"/>
        <v>0.48909929714145</v>
      </c>
      <c r="AI30" s="4">
        <f t="shared" si="8"/>
        <v>0.330517169276453</v>
      </c>
      <c r="AJ30" s="4">
        <f t="shared" si="8"/>
        <v>0.254907408174699</v>
      </c>
    </row>
    <row r="31" spans="1:36">
      <c r="A31" t="str">
        <f>"semis_procurement_archetype_"&amp;TEXT(ROUND(Table26916[[#This Row],[2016]],3),"0.0")</f>
        <v>semis_procurement_archetype_17.4</v>
      </c>
      <c r="B31" s="4">
        <f t="shared" si="2"/>
        <v>17.4</v>
      </c>
      <c r="C31" s="4">
        <f t="shared" si="6"/>
        <v>17.4</v>
      </c>
      <c r="D31" s="4">
        <f t="shared" si="6"/>
        <v>17.4</v>
      </c>
      <c r="E31" s="4">
        <f t="shared" si="6"/>
        <v>16.9844461406496</v>
      </c>
      <c r="F31" s="4">
        <f t="shared" si="6"/>
        <v>15.9798204500519</v>
      </c>
      <c r="G31" s="4">
        <f t="shared" si="6"/>
        <v>16.1202695772493</v>
      </c>
      <c r="H31" s="4">
        <f t="shared" si="6"/>
        <v>15.6842016955403</v>
      </c>
      <c r="I31" s="4">
        <f t="shared" si="6"/>
        <v>14.8406584985325</v>
      </c>
      <c r="J31" s="4">
        <f t="shared" si="6"/>
        <v>14.3667982630867</v>
      </c>
      <c r="K31" s="4">
        <f t="shared" si="6"/>
        <v>13.8803707134885</v>
      </c>
      <c r="L31" s="4">
        <f t="shared" si="6"/>
        <v>13.1120014703886</v>
      </c>
      <c r="M31" s="4">
        <f t="shared" si="6"/>
        <v>13.0187453298747</v>
      </c>
      <c r="N31" s="4">
        <f t="shared" si="6"/>
        <v>12.3891612434348</v>
      </c>
      <c r="O31" s="4">
        <f t="shared" si="6"/>
        <v>11.7363348991517</v>
      </c>
      <c r="P31" s="4">
        <f t="shared" si="6"/>
        <v>10.9645590469935</v>
      </c>
      <c r="Q31" s="4">
        <f t="shared" si="6"/>
        <v>9.45790607007796</v>
      </c>
      <c r="R31" s="4">
        <f t="shared" si="6"/>
        <v>7.42538336447775</v>
      </c>
      <c r="S31" s="4">
        <f t="shared" si="5"/>
        <v>6.77720786914818</v>
      </c>
      <c r="T31" s="4">
        <f t="shared" si="5"/>
        <v>5.36825679999115</v>
      </c>
      <c r="U31" s="4">
        <f t="shared" si="5"/>
        <v>3.94835972688816</v>
      </c>
      <c r="V31" s="4">
        <f t="shared" si="5"/>
        <v>3.67470681268954</v>
      </c>
      <c r="W31" s="4">
        <f t="shared" si="5"/>
        <v>2.84900476505405</v>
      </c>
      <c r="X31" s="4">
        <f t="shared" si="5"/>
        <v>2.43000761796362</v>
      </c>
      <c r="Y31" s="4">
        <f t="shared" si="5"/>
        <v>1.99418032203424</v>
      </c>
      <c r="Z31" s="4">
        <f t="shared" si="5"/>
        <v>1.92607758504623</v>
      </c>
      <c r="AA31" s="4">
        <f t="shared" si="8"/>
        <v>1.71474304571426</v>
      </c>
      <c r="AB31" s="4">
        <f t="shared" si="8"/>
        <v>1.40614972514575</v>
      </c>
      <c r="AC31" s="4">
        <f t="shared" si="8"/>
        <v>1.15340227235037</v>
      </c>
      <c r="AD31" s="4">
        <f t="shared" si="8"/>
        <v>1.11159988243593</v>
      </c>
      <c r="AE31" s="4">
        <f t="shared" si="8"/>
        <v>0.941124785781835</v>
      </c>
      <c r="AF31" s="4">
        <f t="shared" si="8"/>
        <v>0.841700420250884</v>
      </c>
      <c r="AG31" s="4">
        <f t="shared" si="8"/>
        <v>0.767139266446144</v>
      </c>
      <c r="AH31" s="4">
        <f t="shared" si="8"/>
        <v>0.487741276662756</v>
      </c>
      <c r="AI31" s="4">
        <f t="shared" si="8"/>
        <v>0.330078727089499</v>
      </c>
      <c r="AJ31" s="4">
        <f t="shared" si="8"/>
        <v>0.254907408174699</v>
      </c>
    </row>
    <row r="32" spans="1:36">
      <c r="A32" t="str">
        <f>"semis_procurement_archetype_"&amp;TEXT(ROUND(Table26916[[#This Row],[2016]],3),"0.0")</f>
        <v>semis_procurement_archetype_17.3</v>
      </c>
      <c r="B32" s="4">
        <f t="shared" si="2"/>
        <v>17.3</v>
      </c>
      <c r="C32" s="4">
        <f t="shared" si="6"/>
        <v>17.3</v>
      </c>
      <c r="D32" s="4">
        <f t="shared" si="6"/>
        <v>17.3</v>
      </c>
      <c r="E32" s="4">
        <f t="shared" si="6"/>
        <v>16.8868698887695</v>
      </c>
      <c r="F32" s="4">
        <f t="shared" si="6"/>
        <v>15.8881037506076</v>
      </c>
      <c r="G32" s="4">
        <f t="shared" si="6"/>
        <v>16.0277336980518</v>
      </c>
      <c r="H32" s="4">
        <f t="shared" si="6"/>
        <v>15.5942092139907</v>
      </c>
      <c r="I32" s="4">
        <f t="shared" si="6"/>
        <v>14.7555860440547</v>
      </c>
      <c r="J32" s="4">
        <f t="shared" si="6"/>
        <v>14.2844896329097</v>
      </c>
      <c r="K32" s="4">
        <f t="shared" si="6"/>
        <v>13.8008992073865</v>
      </c>
      <c r="L32" s="4">
        <f t="shared" si="6"/>
        <v>13.0370115338026</v>
      </c>
      <c r="M32" s="4">
        <f t="shared" si="6"/>
        <v>12.9442993165135</v>
      </c>
      <c r="N32" s="4">
        <f t="shared" si="6"/>
        <v>12.3183873250657</v>
      </c>
      <c r="O32" s="4">
        <f t="shared" si="6"/>
        <v>11.6693686379345</v>
      </c>
      <c r="P32" s="4">
        <f t="shared" si="6"/>
        <v>10.9020942245876</v>
      </c>
      <c r="Q32" s="4">
        <f t="shared" si="6"/>
        <v>9.40422891078229</v>
      </c>
      <c r="R32" s="4">
        <f t="shared" si="6"/>
        <v>7.38356104174663</v>
      </c>
      <c r="S32" s="4">
        <f t="shared" si="5"/>
        <v>6.7391660771541</v>
      </c>
      <c r="T32" s="4">
        <f t="shared" si="5"/>
        <v>5.33843281762167</v>
      </c>
      <c r="U32" s="4">
        <f t="shared" si="5"/>
        <v>3.92681739750772</v>
      </c>
      <c r="V32" s="4">
        <f t="shared" si="5"/>
        <v>3.65476058384185</v>
      </c>
      <c r="W32" s="4">
        <f t="shared" si="5"/>
        <v>2.83387450347636</v>
      </c>
      <c r="X32" s="4">
        <f t="shared" si="5"/>
        <v>2.41732118773212</v>
      </c>
      <c r="Y32" s="4">
        <f t="shared" si="5"/>
        <v>1.98403588621656</v>
      </c>
      <c r="Z32" s="4">
        <f t="shared" si="5"/>
        <v>1.91633036339711</v>
      </c>
      <c r="AA32" s="4">
        <f t="shared" si="8"/>
        <v>1.70622844814227</v>
      </c>
      <c r="AB32" s="4">
        <f t="shared" si="8"/>
        <v>1.39943502056888</v>
      </c>
      <c r="AC32" s="4">
        <f t="shared" si="8"/>
        <v>1.14816173568156</v>
      </c>
      <c r="AD32" s="4">
        <f t="shared" si="8"/>
        <v>1.10660316124779</v>
      </c>
      <c r="AE32" s="4">
        <f t="shared" si="8"/>
        <v>0.937122372998516</v>
      </c>
      <c r="AF32" s="4">
        <f t="shared" si="8"/>
        <v>0.838277907313532</v>
      </c>
      <c r="AG32" s="4">
        <f t="shared" si="8"/>
        <v>0.764151636863346</v>
      </c>
      <c r="AH32" s="4">
        <f t="shared" si="8"/>
        <v>0.486383256184062</v>
      </c>
      <c r="AI32" s="4">
        <f t="shared" si="8"/>
        <v>0.329640284902546</v>
      </c>
      <c r="AJ32" s="4">
        <f t="shared" si="8"/>
        <v>0.254907408174699</v>
      </c>
    </row>
    <row r="33" spans="1:36">
      <c r="A33" t="str">
        <f>"semis_procurement_archetype_"&amp;TEXT(ROUND(Table26916[[#This Row],[2016]],3),"0.0")</f>
        <v>semis_procurement_archetype_17.2</v>
      </c>
      <c r="B33" s="4">
        <f t="shared" si="2"/>
        <v>17.2</v>
      </c>
      <c r="C33" s="4">
        <f t="shared" si="6"/>
        <v>17.2</v>
      </c>
      <c r="D33" s="4">
        <f t="shared" si="6"/>
        <v>17.2</v>
      </c>
      <c r="E33" s="4">
        <f t="shared" si="6"/>
        <v>16.7892936368894</v>
      </c>
      <c r="F33" s="4">
        <f t="shared" si="6"/>
        <v>15.7963870511634</v>
      </c>
      <c r="G33" s="4">
        <f t="shared" si="6"/>
        <v>15.9351978188543</v>
      </c>
      <c r="H33" s="4">
        <f t="shared" si="6"/>
        <v>15.504216732441</v>
      </c>
      <c r="I33" s="4">
        <f t="shared" si="6"/>
        <v>14.6705135895769</v>
      </c>
      <c r="J33" s="4">
        <f t="shared" si="6"/>
        <v>14.2021810027327</v>
      </c>
      <c r="K33" s="4">
        <f t="shared" si="6"/>
        <v>13.7214277012844</v>
      </c>
      <c r="L33" s="4">
        <f t="shared" si="6"/>
        <v>12.9620215972167</v>
      </c>
      <c r="M33" s="4">
        <f t="shared" si="6"/>
        <v>12.8698533031523</v>
      </c>
      <c r="N33" s="4">
        <f t="shared" si="6"/>
        <v>12.2476134066965</v>
      </c>
      <c r="O33" s="4">
        <f t="shared" si="6"/>
        <v>11.6024023767172</v>
      </c>
      <c r="P33" s="4">
        <f t="shared" si="6"/>
        <v>10.8396294021817</v>
      </c>
      <c r="Q33" s="4">
        <f t="shared" si="6"/>
        <v>9.35055175148663</v>
      </c>
      <c r="R33" s="4">
        <f t="shared" si="6"/>
        <v>7.34173871901551</v>
      </c>
      <c r="S33" s="4">
        <f t="shared" si="5"/>
        <v>6.70112428516003</v>
      </c>
      <c r="T33" s="4">
        <f t="shared" si="5"/>
        <v>5.3086088352522</v>
      </c>
      <c r="U33" s="4">
        <f t="shared" si="5"/>
        <v>3.90527506812727</v>
      </c>
      <c r="V33" s="4">
        <f t="shared" si="5"/>
        <v>3.63481435499415</v>
      </c>
      <c r="W33" s="4">
        <f t="shared" si="5"/>
        <v>2.81874424189868</v>
      </c>
      <c r="X33" s="4">
        <f t="shared" si="5"/>
        <v>2.40463475750061</v>
      </c>
      <c r="Y33" s="4">
        <f t="shared" si="5"/>
        <v>1.97389145039888</v>
      </c>
      <c r="Z33" s="4">
        <f t="shared" si="5"/>
        <v>1.90658314174799</v>
      </c>
      <c r="AA33" s="4">
        <f t="shared" si="8"/>
        <v>1.69771385057028</v>
      </c>
      <c r="AB33" s="4">
        <f t="shared" si="8"/>
        <v>1.39272031599201</v>
      </c>
      <c r="AC33" s="4">
        <f t="shared" si="8"/>
        <v>1.14292119901275</v>
      </c>
      <c r="AD33" s="4">
        <f t="shared" si="8"/>
        <v>1.10160644005966</v>
      </c>
      <c r="AE33" s="4">
        <f t="shared" si="8"/>
        <v>0.933119960215196</v>
      </c>
      <c r="AF33" s="4">
        <f t="shared" si="8"/>
        <v>0.83485539437618</v>
      </c>
      <c r="AG33" s="4">
        <f t="shared" si="8"/>
        <v>0.761164007280548</v>
      </c>
      <c r="AH33" s="4">
        <f t="shared" si="8"/>
        <v>0.485025235705368</v>
      </c>
      <c r="AI33" s="4">
        <f t="shared" si="8"/>
        <v>0.329201842715592</v>
      </c>
      <c r="AJ33" s="4">
        <f t="shared" si="8"/>
        <v>0.254907408174699</v>
      </c>
    </row>
    <row r="34" spans="1:36">
      <c r="A34" t="str">
        <f>"semis_procurement_archetype_"&amp;TEXT(ROUND(Table26916[[#This Row],[2016]],3),"0.0")</f>
        <v>semis_procurement_archetype_17.1</v>
      </c>
      <c r="B34" s="4">
        <f t="shared" si="2"/>
        <v>17.1</v>
      </c>
      <c r="C34" s="4">
        <f t="shared" si="6"/>
        <v>17.1</v>
      </c>
      <c r="D34" s="4">
        <f t="shared" si="6"/>
        <v>17.1</v>
      </c>
      <c r="E34" s="4">
        <f t="shared" si="6"/>
        <v>16.6917173850093</v>
      </c>
      <c r="F34" s="4">
        <f t="shared" si="6"/>
        <v>15.7046703517192</v>
      </c>
      <c r="G34" s="4">
        <f t="shared" si="6"/>
        <v>15.8426619396567</v>
      </c>
      <c r="H34" s="4">
        <f t="shared" si="6"/>
        <v>15.4142242508914</v>
      </c>
      <c r="I34" s="4">
        <f t="shared" si="6"/>
        <v>14.5854411350991</v>
      </c>
      <c r="J34" s="4">
        <f t="shared" si="6"/>
        <v>14.1198723725557</v>
      </c>
      <c r="K34" s="4">
        <f t="shared" si="6"/>
        <v>13.6419561951824</v>
      </c>
      <c r="L34" s="4">
        <f t="shared" si="6"/>
        <v>12.8870316606307</v>
      </c>
      <c r="M34" s="4">
        <f t="shared" si="6"/>
        <v>12.7954072897911</v>
      </c>
      <c r="N34" s="4">
        <f t="shared" si="6"/>
        <v>12.1768394883273</v>
      </c>
      <c r="O34" s="4">
        <f t="shared" si="6"/>
        <v>11.5354361155</v>
      </c>
      <c r="P34" s="4">
        <f t="shared" si="6"/>
        <v>10.7771645797757</v>
      </c>
      <c r="Q34" s="4">
        <f t="shared" si="6"/>
        <v>9.29687459219096</v>
      </c>
      <c r="R34" s="4">
        <f t="shared" si="6"/>
        <v>7.29991639628439</v>
      </c>
      <c r="S34" s="4">
        <f t="shared" si="5"/>
        <v>6.66308249316596</v>
      </c>
      <c r="T34" s="4">
        <f t="shared" si="5"/>
        <v>5.27878485288272</v>
      </c>
      <c r="U34" s="4">
        <f t="shared" si="5"/>
        <v>3.88373273874682</v>
      </c>
      <c r="V34" s="4">
        <f t="shared" si="5"/>
        <v>3.61486812614646</v>
      </c>
      <c r="W34" s="4">
        <f t="shared" si="5"/>
        <v>2.80361398032099</v>
      </c>
      <c r="X34" s="4">
        <f t="shared" si="5"/>
        <v>2.39194832726911</v>
      </c>
      <c r="Y34" s="4">
        <f t="shared" si="5"/>
        <v>1.9637470145812</v>
      </c>
      <c r="Z34" s="4">
        <f t="shared" si="5"/>
        <v>1.89683592009888</v>
      </c>
      <c r="AA34" s="4">
        <f t="shared" si="8"/>
        <v>1.68919925299828</v>
      </c>
      <c r="AB34" s="4">
        <f t="shared" si="8"/>
        <v>1.38600561141515</v>
      </c>
      <c r="AC34" s="4">
        <f t="shared" si="8"/>
        <v>1.13768066234394</v>
      </c>
      <c r="AD34" s="4">
        <f t="shared" si="8"/>
        <v>1.09660971887152</v>
      </c>
      <c r="AE34" s="4">
        <f t="shared" si="8"/>
        <v>0.929117547431877</v>
      </c>
      <c r="AF34" s="4">
        <f t="shared" si="8"/>
        <v>0.831432881438828</v>
      </c>
      <c r="AG34" s="4">
        <f t="shared" si="8"/>
        <v>0.75817637769775</v>
      </c>
      <c r="AH34" s="4">
        <f t="shared" si="8"/>
        <v>0.483667215226674</v>
      </c>
      <c r="AI34" s="4">
        <f t="shared" si="8"/>
        <v>0.328763400528639</v>
      </c>
      <c r="AJ34" s="4">
        <f t="shared" si="8"/>
        <v>0.254907408174699</v>
      </c>
    </row>
    <row r="35" spans="1:36">
      <c r="A35" t="str">
        <f>"semis_procurement_archetype_"&amp;TEXT(ROUND(Table26916[[#This Row],[2016]],3),"0.0")</f>
        <v>semis_procurement_archetype_17.0</v>
      </c>
      <c r="B35" s="4">
        <f t="shared" si="2"/>
        <v>17</v>
      </c>
      <c r="C35" s="4">
        <f t="shared" si="6"/>
        <v>17</v>
      </c>
      <c r="D35" s="4">
        <f t="shared" si="6"/>
        <v>17</v>
      </c>
      <c r="E35" s="4">
        <f t="shared" si="6"/>
        <v>16.5941411331292</v>
      </c>
      <c r="F35" s="4">
        <f t="shared" si="6"/>
        <v>15.612953652275</v>
      </c>
      <c r="G35" s="4">
        <f t="shared" si="6"/>
        <v>15.7501260604592</v>
      </c>
      <c r="H35" s="4">
        <f t="shared" si="6"/>
        <v>15.3242317693418</v>
      </c>
      <c r="I35" s="4">
        <f t="shared" si="6"/>
        <v>14.5003686806213</v>
      </c>
      <c r="J35" s="4">
        <f t="shared" si="6"/>
        <v>14.0375637423786</v>
      </c>
      <c r="K35" s="4">
        <f t="shared" si="6"/>
        <v>13.5624846890804</v>
      </c>
      <c r="L35" s="4">
        <f t="shared" si="6"/>
        <v>12.8120417240447</v>
      </c>
      <c r="M35" s="4">
        <f t="shared" si="6"/>
        <v>12.7209612764299</v>
      </c>
      <c r="N35" s="4">
        <f t="shared" si="6"/>
        <v>12.1060655699581</v>
      </c>
      <c r="O35" s="4">
        <f t="shared" si="6"/>
        <v>11.4684698542828</v>
      </c>
      <c r="P35" s="4">
        <f t="shared" si="6"/>
        <v>10.7146997573698</v>
      </c>
      <c r="Q35" s="4">
        <f t="shared" si="6"/>
        <v>9.2431974328953</v>
      </c>
      <c r="R35" s="4">
        <f t="shared" si="6"/>
        <v>7.25809407355326</v>
      </c>
      <c r="S35" s="4">
        <f t="shared" si="5"/>
        <v>6.62504070117188</v>
      </c>
      <c r="T35" s="4">
        <f t="shared" si="5"/>
        <v>5.24896087051324</v>
      </c>
      <c r="U35" s="4">
        <f t="shared" si="5"/>
        <v>3.86219040936638</v>
      </c>
      <c r="V35" s="4">
        <f t="shared" si="5"/>
        <v>3.59492189729876</v>
      </c>
      <c r="W35" s="4">
        <f t="shared" si="5"/>
        <v>2.78848371874331</v>
      </c>
      <c r="X35" s="4">
        <f t="shared" si="5"/>
        <v>2.3792618970376</v>
      </c>
      <c r="Y35" s="4">
        <f t="shared" si="5"/>
        <v>1.95360257876352</v>
      </c>
      <c r="Z35" s="4">
        <f t="shared" si="5"/>
        <v>1.88708869844976</v>
      </c>
      <c r="AA35" s="4">
        <f t="shared" si="8"/>
        <v>1.68068465542629</v>
      </c>
      <c r="AB35" s="4">
        <f t="shared" si="8"/>
        <v>1.37929090683828</v>
      </c>
      <c r="AC35" s="4">
        <f t="shared" si="8"/>
        <v>1.13244012567513</v>
      </c>
      <c r="AD35" s="4">
        <f t="shared" si="8"/>
        <v>1.09161299768339</v>
      </c>
      <c r="AE35" s="4">
        <f t="shared" si="8"/>
        <v>0.925115134648558</v>
      </c>
      <c r="AF35" s="4">
        <f t="shared" si="8"/>
        <v>0.828010368501476</v>
      </c>
      <c r="AG35" s="4">
        <f t="shared" si="8"/>
        <v>0.755188748114953</v>
      </c>
      <c r="AH35" s="4">
        <f t="shared" si="8"/>
        <v>0.48230919474798</v>
      </c>
      <c r="AI35" s="4">
        <f t="shared" si="8"/>
        <v>0.328324958341685</v>
      </c>
      <c r="AJ35" s="4">
        <f t="shared" si="8"/>
        <v>0.254907408174699</v>
      </c>
    </row>
    <row r="36" spans="1:36">
      <c r="A36" t="str">
        <f>"semis_procurement_archetype_"&amp;TEXT(ROUND(Table26916[[#This Row],[2016]],3),"0.0")</f>
        <v>semis_procurement_archetype_16.9</v>
      </c>
      <c r="B36" s="4">
        <f t="shared" si="2"/>
        <v>16.9</v>
      </c>
      <c r="C36" s="4">
        <f t="shared" si="6"/>
        <v>16.9</v>
      </c>
      <c r="D36" s="4">
        <f t="shared" si="6"/>
        <v>16.9</v>
      </c>
      <c r="E36" s="4">
        <f t="shared" si="6"/>
        <v>16.4965648812491</v>
      </c>
      <c r="F36" s="4">
        <f t="shared" si="6"/>
        <v>15.5212369528308</v>
      </c>
      <c r="G36" s="4">
        <f t="shared" si="6"/>
        <v>15.6575901812617</v>
      </c>
      <c r="H36" s="4">
        <f t="shared" si="6"/>
        <v>15.2342392877922</v>
      </c>
      <c r="I36" s="4">
        <f t="shared" si="6"/>
        <v>14.4152962261435</v>
      </c>
      <c r="J36" s="4">
        <f t="shared" si="6"/>
        <v>13.9552551122016</v>
      </c>
      <c r="K36" s="4">
        <f t="shared" si="6"/>
        <v>13.4830131829783</v>
      </c>
      <c r="L36" s="4">
        <f t="shared" si="6"/>
        <v>12.7370517874588</v>
      </c>
      <c r="M36" s="4">
        <f t="shared" si="6"/>
        <v>12.6465152630687</v>
      </c>
      <c r="N36" s="4">
        <f t="shared" si="6"/>
        <v>12.0352916515889</v>
      </c>
      <c r="O36" s="4">
        <f t="shared" si="6"/>
        <v>11.4015035930656</v>
      </c>
      <c r="P36" s="4">
        <f t="shared" si="6"/>
        <v>10.6522349349638</v>
      </c>
      <c r="Q36" s="4">
        <f t="shared" si="6"/>
        <v>9.18952027359963</v>
      </c>
      <c r="R36" s="4">
        <f t="shared" si="6"/>
        <v>7.21627175082214</v>
      </c>
      <c r="S36" s="4">
        <f t="shared" si="5"/>
        <v>6.58699890917781</v>
      </c>
      <c r="T36" s="4">
        <f t="shared" si="5"/>
        <v>5.21913688814377</v>
      </c>
      <c r="U36" s="4">
        <f t="shared" si="5"/>
        <v>3.84064807998593</v>
      </c>
      <c r="V36" s="4">
        <f t="shared" si="5"/>
        <v>3.57497566845106</v>
      </c>
      <c r="W36" s="4">
        <f t="shared" si="5"/>
        <v>2.77335345716562</v>
      </c>
      <c r="X36" s="4">
        <f t="shared" si="5"/>
        <v>2.3665754668061</v>
      </c>
      <c r="Y36" s="4">
        <f t="shared" si="5"/>
        <v>1.94345814294584</v>
      </c>
      <c r="Z36" s="4">
        <f t="shared" si="5"/>
        <v>1.87734147680064</v>
      </c>
      <c r="AA36" s="4">
        <f t="shared" si="8"/>
        <v>1.6721700578543</v>
      </c>
      <c r="AB36" s="4">
        <f t="shared" si="8"/>
        <v>1.37257620226142</v>
      </c>
      <c r="AC36" s="4">
        <f t="shared" si="8"/>
        <v>1.12719958900633</v>
      </c>
      <c r="AD36" s="4">
        <f t="shared" si="8"/>
        <v>1.08661627649525</v>
      </c>
      <c r="AE36" s="4">
        <f t="shared" si="8"/>
        <v>0.921112721865239</v>
      </c>
      <c r="AF36" s="4">
        <f t="shared" si="8"/>
        <v>0.824587855564125</v>
      </c>
      <c r="AG36" s="4">
        <f t="shared" si="8"/>
        <v>0.752201118532155</v>
      </c>
      <c r="AH36" s="4">
        <f t="shared" si="8"/>
        <v>0.480951174269286</v>
      </c>
      <c r="AI36" s="4">
        <f t="shared" si="8"/>
        <v>0.327886516154732</v>
      </c>
      <c r="AJ36" s="4">
        <f t="shared" si="8"/>
        <v>0.254907408174699</v>
      </c>
    </row>
    <row r="37" spans="1:36">
      <c r="A37" t="str">
        <f>"semis_procurement_archetype_"&amp;TEXT(ROUND(Table26916[[#This Row],[2016]],3),"0.0")</f>
        <v>semis_procurement_archetype_16.8</v>
      </c>
      <c r="B37" s="4">
        <f t="shared" si="2"/>
        <v>16.8</v>
      </c>
      <c r="C37" s="4">
        <f t="shared" si="6"/>
        <v>16.8</v>
      </c>
      <c r="D37" s="4">
        <f t="shared" si="6"/>
        <v>16.8</v>
      </c>
      <c r="E37" s="4">
        <f t="shared" si="6"/>
        <v>16.3989886293691</v>
      </c>
      <c r="F37" s="4">
        <f t="shared" si="6"/>
        <v>15.4295202533866</v>
      </c>
      <c r="G37" s="4">
        <f t="shared" si="6"/>
        <v>15.5650543020642</v>
      </c>
      <c r="H37" s="4">
        <f t="shared" si="6"/>
        <v>15.1442468062425</v>
      </c>
      <c r="I37" s="4">
        <f t="shared" si="6"/>
        <v>14.3302237716657</v>
      </c>
      <c r="J37" s="4">
        <f t="shared" si="6"/>
        <v>13.8729464820246</v>
      </c>
      <c r="K37" s="4">
        <f t="shared" si="6"/>
        <v>13.4035416768763</v>
      </c>
      <c r="L37" s="4">
        <f t="shared" si="6"/>
        <v>12.6620618508728</v>
      </c>
      <c r="M37" s="4">
        <f t="shared" si="6"/>
        <v>12.5720692497075</v>
      </c>
      <c r="N37" s="4">
        <f t="shared" si="6"/>
        <v>11.9645177332197</v>
      </c>
      <c r="O37" s="4">
        <f t="shared" si="6"/>
        <v>11.3345373318483</v>
      </c>
      <c r="P37" s="4">
        <f t="shared" si="6"/>
        <v>10.5897701125579</v>
      </c>
      <c r="Q37" s="4">
        <f t="shared" si="6"/>
        <v>9.13584311430397</v>
      </c>
      <c r="R37" s="4">
        <f t="shared" si="6"/>
        <v>7.17444942809102</v>
      </c>
      <c r="S37" s="4">
        <f t="shared" si="5"/>
        <v>6.54895711718374</v>
      </c>
      <c r="T37" s="4">
        <f t="shared" si="5"/>
        <v>5.18931290577429</v>
      </c>
      <c r="U37" s="4">
        <f t="shared" si="5"/>
        <v>3.81910575060549</v>
      </c>
      <c r="V37" s="4">
        <f t="shared" si="5"/>
        <v>3.55502943960337</v>
      </c>
      <c r="W37" s="4">
        <f t="shared" si="5"/>
        <v>2.75822319558794</v>
      </c>
      <c r="X37" s="4">
        <f t="shared" si="5"/>
        <v>2.35388903657459</v>
      </c>
      <c r="Y37" s="4">
        <f t="shared" si="5"/>
        <v>1.93331370712816</v>
      </c>
      <c r="Z37" s="4">
        <f t="shared" si="5"/>
        <v>1.86759425515153</v>
      </c>
      <c r="AA37" s="4">
        <f t="shared" si="8"/>
        <v>1.6636554602823</v>
      </c>
      <c r="AB37" s="4">
        <f t="shared" si="8"/>
        <v>1.36586149768455</v>
      </c>
      <c r="AC37" s="4">
        <f t="shared" si="8"/>
        <v>1.12195905233752</v>
      </c>
      <c r="AD37" s="4">
        <f t="shared" si="8"/>
        <v>1.08161955530712</v>
      </c>
      <c r="AE37" s="4">
        <f t="shared" si="8"/>
        <v>0.917110309081919</v>
      </c>
      <c r="AF37" s="4">
        <f t="shared" si="8"/>
        <v>0.821165342626773</v>
      </c>
      <c r="AG37" s="4">
        <f t="shared" si="8"/>
        <v>0.749213488949357</v>
      </c>
      <c r="AH37" s="4">
        <f t="shared" si="8"/>
        <v>0.479593153790592</v>
      </c>
      <c r="AI37" s="4">
        <f t="shared" si="8"/>
        <v>0.327448073967778</v>
      </c>
      <c r="AJ37" s="4">
        <f t="shared" si="8"/>
        <v>0.254907408174699</v>
      </c>
    </row>
    <row r="38" spans="1:36">
      <c r="A38" t="str">
        <f>"semis_procurement_archetype_"&amp;TEXT(ROUND(Table26916[[#This Row],[2016]],3),"0.0")</f>
        <v>semis_procurement_archetype_16.7</v>
      </c>
      <c r="B38" s="4">
        <f t="shared" si="2"/>
        <v>16.7</v>
      </c>
      <c r="C38" s="4">
        <f t="shared" si="6"/>
        <v>16.7</v>
      </c>
      <c r="D38" s="4">
        <f t="shared" si="6"/>
        <v>16.7</v>
      </c>
      <c r="E38" s="4">
        <f t="shared" si="6"/>
        <v>16.301412377489</v>
      </c>
      <c r="F38" s="4">
        <f t="shared" si="6"/>
        <v>15.3378035539423</v>
      </c>
      <c r="G38" s="4">
        <f t="shared" si="6"/>
        <v>15.4725184228667</v>
      </c>
      <c r="H38" s="4">
        <f t="shared" si="6"/>
        <v>15.0542543246929</v>
      </c>
      <c r="I38" s="4">
        <f t="shared" si="6"/>
        <v>14.2451513171879</v>
      </c>
      <c r="J38" s="4">
        <f t="shared" si="6"/>
        <v>13.7906378518476</v>
      </c>
      <c r="K38" s="4">
        <f t="shared" si="6"/>
        <v>13.3240701707742</v>
      </c>
      <c r="L38" s="4">
        <f t="shared" si="6"/>
        <v>12.5870719142869</v>
      </c>
      <c r="M38" s="4">
        <f t="shared" si="6"/>
        <v>12.4976232363463</v>
      </c>
      <c r="N38" s="4">
        <f t="shared" si="6"/>
        <v>11.8937438148505</v>
      </c>
      <c r="O38" s="4">
        <f t="shared" si="6"/>
        <v>11.2675710706311</v>
      </c>
      <c r="P38" s="4">
        <f t="shared" si="6"/>
        <v>10.5273052901519</v>
      </c>
      <c r="Q38" s="4">
        <f t="shared" si="6"/>
        <v>9.0821659550083</v>
      </c>
      <c r="R38" s="4">
        <f t="shared" si="6"/>
        <v>7.13262710535989</v>
      </c>
      <c r="S38" s="4">
        <f t="shared" si="5"/>
        <v>6.51091532518966</v>
      </c>
      <c r="T38" s="4">
        <f t="shared" si="5"/>
        <v>5.15948892340481</v>
      </c>
      <c r="U38" s="4">
        <f t="shared" si="5"/>
        <v>3.79756342122504</v>
      </c>
      <c r="V38" s="4">
        <f t="shared" si="5"/>
        <v>3.53508321075567</v>
      </c>
      <c r="W38" s="4">
        <f t="shared" si="5"/>
        <v>2.74309293401025</v>
      </c>
      <c r="X38" s="4">
        <f t="shared" si="5"/>
        <v>2.34120260634308</v>
      </c>
      <c r="Y38" s="4">
        <f t="shared" si="5"/>
        <v>1.92316927131048</v>
      </c>
      <c r="Z38" s="4">
        <f t="shared" si="5"/>
        <v>1.85784703350241</v>
      </c>
      <c r="AA38" s="4">
        <f t="shared" si="8"/>
        <v>1.65514086271031</v>
      </c>
      <c r="AB38" s="4">
        <f t="shared" si="8"/>
        <v>1.35914679310769</v>
      </c>
      <c r="AC38" s="4">
        <f t="shared" si="8"/>
        <v>1.11671851566871</v>
      </c>
      <c r="AD38" s="4">
        <f t="shared" si="8"/>
        <v>1.07662283411898</v>
      </c>
      <c r="AE38" s="4">
        <f t="shared" si="8"/>
        <v>0.9131078962986</v>
      </c>
      <c r="AF38" s="4">
        <f t="shared" si="8"/>
        <v>0.817742829689421</v>
      </c>
      <c r="AG38" s="4">
        <f t="shared" si="8"/>
        <v>0.746225859366559</v>
      </c>
      <c r="AH38" s="4">
        <f t="shared" si="8"/>
        <v>0.478235133311897</v>
      </c>
      <c r="AI38" s="4">
        <f t="shared" si="8"/>
        <v>0.327009631780825</v>
      </c>
      <c r="AJ38" s="4">
        <f t="shared" si="8"/>
        <v>0.254907408174699</v>
      </c>
    </row>
    <row r="39" spans="1:36">
      <c r="A39" t="str">
        <f>"semis_procurement_archetype_"&amp;TEXT(ROUND(Table26916[[#This Row],[2016]],3),"0.0")</f>
        <v>semis_procurement_archetype_16.6</v>
      </c>
      <c r="B39" s="4">
        <f t="shared" si="2"/>
        <v>16.6</v>
      </c>
      <c r="C39" s="4">
        <f t="shared" si="6"/>
        <v>16.6</v>
      </c>
      <c r="D39" s="4">
        <f t="shared" si="6"/>
        <v>16.6</v>
      </c>
      <c r="E39" s="4">
        <f t="shared" si="6"/>
        <v>16.2038361256089</v>
      </c>
      <c r="F39" s="4">
        <f t="shared" si="6"/>
        <v>15.2460868544981</v>
      </c>
      <c r="G39" s="4">
        <f t="shared" si="6"/>
        <v>15.3799825436691</v>
      </c>
      <c r="H39" s="4">
        <f t="shared" si="6"/>
        <v>14.9642618431433</v>
      </c>
      <c r="I39" s="4">
        <f t="shared" si="6"/>
        <v>14.1600788627101</v>
      </c>
      <c r="J39" s="4">
        <f t="shared" si="6"/>
        <v>13.7083292216706</v>
      </c>
      <c r="K39" s="4">
        <f t="shared" si="6"/>
        <v>13.2445986646722</v>
      </c>
      <c r="L39" s="4">
        <f t="shared" si="6"/>
        <v>12.5120819777009</v>
      </c>
      <c r="M39" s="4">
        <f t="shared" si="6"/>
        <v>12.4231772229851</v>
      </c>
      <c r="N39" s="4">
        <f t="shared" si="6"/>
        <v>11.8229698964813</v>
      </c>
      <c r="O39" s="4">
        <f t="shared" si="6"/>
        <v>11.2006048094139</v>
      </c>
      <c r="P39" s="4">
        <f t="shared" si="6"/>
        <v>10.464840467746</v>
      </c>
      <c r="Q39" s="4">
        <f t="shared" si="6"/>
        <v>9.02848879571264</v>
      </c>
      <c r="R39" s="4">
        <f t="shared" si="6"/>
        <v>7.09080478262877</v>
      </c>
      <c r="S39" s="4">
        <f t="shared" si="5"/>
        <v>6.47287353319559</v>
      </c>
      <c r="T39" s="4">
        <f t="shared" si="5"/>
        <v>5.12966494103534</v>
      </c>
      <c r="U39" s="4">
        <f t="shared" si="5"/>
        <v>3.77602109184459</v>
      </c>
      <c r="V39" s="4">
        <f t="shared" si="5"/>
        <v>3.51513698190798</v>
      </c>
      <c r="W39" s="4">
        <f t="shared" si="5"/>
        <v>2.72796267243257</v>
      </c>
      <c r="X39" s="4">
        <f t="shared" si="5"/>
        <v>2.32851617611158</v>
      </c>
      <c r="Y39" s="4">
        <f t="shared" si="5"/>
        <v>1.9130248354928</v>
      </c>
      <c r="Z39" s="4">
        <f t="shared" si="5"/>
        <v>1.84809981185329</v>
      </c>
      <c r="AA39" s="4">
        <f t="shared" si="8"/>
        <v>1.64662626513832</v>
      </c>
      <c r="AB39" s="4">
        <f t="shared" si="8"/>
        <v>1.35243208853082</v>
      </c>
      <c r="AC39" s="4">
        <f t="shared" si="8"/>
        <v>1.1114779789999</v>
      </c>
      <c r="AD39" s="4">
        <f t="shared" si="8"/>
        <v>1.07162611293084</v>
      </c>
      <c r="AE39" s="4">
        <f t="shared" si="8"/>
        <v>0.909105483515281</v>
      </c>
      <c r="AF39" s="4">
        <f t="shared" si="8"/>
        <v>0.814320316752069</v>
      </c>
      <c r="AG39" s="4">
        <f t="shared" si="8"/>
        <v>0.743238229783761</v>
      </c>
      <c r="AH39" s="4">
        <f t="shared" si="8"/>
        <v>0.476877112833203</v>
      </c>
      <c r="AI39" s="4">
        <f t="shared" si="8"/>
        <v>0.326571189593871</v>
      </c>
      <c r="AJ39" s="4">
        <f t="shared" si="8"/>
        <v>0.254907408174699</v>
      </c>
    </row>
    <row r="40" spans="1:36">
      <c r="A40" t="str">
        <f>"semis_procurement_archetype_"&amp;TEXT(ROUND(Table26916[[#This Row],[2016]],3),"0.0")</f>
        <v>semis_procurement_archetype_16.5</v>
      </c>
      <c r="B40" s="4">
        <f t="shared" si="2"/>
        <v>16.5</v>
      </c>
      <c r="C40" s="4">
        <f t="shared" si="6"/>
        <v>16.5</v>
      </c>
      <c r="D40" s="4">
        <f t="shared" si="6"/>
        <v>16.5</v>
      </c>
      <c r="E40" s="4">
        <f t="shared" si="6"/>
        <v>16.1062598737288</v>
      </c>
      <c r="F40" s="4">
        <f t="shared" si="6"/>
        <v>15.1543701550539</v>
      </c>
      <c r="G40" s="4">
        <f t="shared" si="6"/>
        <v>15.2874466644716</v>
      </c>
      <c r="H40" s="4">
        <f t="shared" si="6"/>
        <v>14.8742693615936</v>
      </c>
      <c r="I40" s="4">
        <f t="shared" si="6"/>
        <v>14.0750064082323</v>
      </c>
      <c r="J40" s="4">
        <f t="shared" si="6"/>
        <v>13.6260205914936</v>
      </c>
      <c r="K40" s="4">
        <f t="shared" si="6"/>
        <v>13.1651271585701</v>
      </c>
      <c r="L40" s="4">
        <f t="shared" si="6"/>
        <v>12.4370920411149</v>
      </c>
      <c r="M40" s="4">
        <f t="shared" si="6"/>
        <v>12.3487312096239</v>
      </c>
      <c r="N40" s="4">
        <f t="shared" si="6"/>
        <v>11.7521959781121</v>
      </c>
      <c r="O40" s="4">
        <f t="shared" si="6"/>
        <v>11.1336385481966</v>
      </c>
      <c r="P40" s="4">
        <f t="shared" si="6"/>
        <v>10.40237564534</v>
      </c>
      <c r="Q40" s="4">
        <f t="shared" si="6"/>
        <v>8.97481163641697</v>
      </c>
      <c r="R40" s="4">
        <f t="shared" si="6"/>
        <v>7.04898245989765</v>
      </c>
      <c r="S40" s="4">
        <f t="shared" si="5"/>
        <v>6.43483174120152</v>
      </c>
      <c r="T40" s="4">
        <f t="shared" si="5"/>
        <v>5.09984095866586</v>
      </c>
      <c r="U40" s="4">
        <f t="shared" si="5"/>
        <v>3.75447876246415</v>
      </c>
      <c r="V40" s="4">
        <f t="shared" si="5"/>
        <v>3.49519075306028</v>
      </c>
      <c r="W40" s="4">
        <f t="shared" si="5"/>
        <v>2.71283241085489</v>
      </c>
      <c r="X40" s="4">
        <f t="shared" si="5"/>
        <v>2.31582974588007</v>
      </c>
      <c r="Y40" s="4">
        <f t="shared" si="5"/>
        <v>1.90288039967512</v>
      </c>
      <c r="Z40" s="4">
        <f t="shared" si="5"/>
        <v>1.83835259020417</v>
      </c>
      <c r="AA40" s="4">
        <f t="shared" si="8"/>
        <v>1.63811166756632</v>
      </c>
      <c r="AB40" s="4">
        <f t="shared" si="8"/>
        <v>1.34571738395396</v>
      </c>
      <c r="AC40" s="4">
        <f t="shared" si="8"/>
        <v>1.10623744233109</v>
      </c>
      <c r="AD40" s="4">
        <f t="shared" si="8"/>
        <v>1.06662939174271</v>
      </c>
      <c r="AE40" s="4">
        <f t="shared" si="8"/>
        <v>0.905103070731962</v>
      </c>
      <c r="AF40" s="4">
        <f t="shared" si="8"/>
        <v>0.810897803814717</v>
      </c>
      <c r="AG40" s="4">
        <f t="shared" si="8"/>
        <v>0.740250600200964</v>
      </c>
      <c r="AH40" s="4">
        <f t="shared" si="8"/>
        <v>0.475519092354509</v>
      </c>
      <c r="AI40" s="4">
        <f t="shared" si="8"/>
        <v>0.326132747406918</v>
      </c>
      <c r="AJ40" s="4">
        <f t="shared" si="8"/>
        <v>0.254907408174699</v>
      </c>
    </row>
    <row r="41" spans="1:36">
      <c r="A41" t="str">
        <f>"semis_procurement_archetype_"&amp;TEXT(ROUND(Table26916[[#This Row],[2016]],3),"0.0")</f>
        <v>semis_procurement_archetype_16.4</v>
      </c>
      <c r="B41" s="4">
        <f t="shared" si="2"/>
        <v>16.4</v>
      </c>
      <c r="C41" s="4">
        <f t="shared" si="6"/>
        <v>16.4</v>
      </c>
      <c r="D41" s="4">
        <f t="shared" si="6"/>
        <v>16.4</v>
      </c>
      <c r="E41" s="4">
        <f t="shared" si="6"/>
        <v>16.0086836218487</v>
      </c>
      <c r="F41" s="4">
        <f t="shared" si="6"/>
        <v>15.0626534556097</v>
      </c>
      <c r="G41" s="4">
        <f t="shared" si="6"/>
        <v>15.1949107852741</v>
      </c>
      <c r="H41" s="4">
        <f t="shared" si="6"/>
        <v>14.784276880044</v>
      </c>
      <c r="I41" s="4">
        <f t="shared" si="6"/>
        <v>13.9899339537545</v>
      </c>
      <c r="J41" s="4">
        <f t="shared" si="6"/>
        <v>13.5437119613166</v>
      </c>
      <c r="K41" s="4">
        <f t="shared" si="6"/>
        <v>13.0856556524681</v>
      </c>
      <c r="L41" s="4">
        <f t="shared" si="6"/>
        <v>12.362102104529</v>
      </c>
      <c r="M41" s="4">
        <f t="shared" si="6"/>
        <v>12.2742851962627</v>
      </c>
      <c r="N41" s="4">
        <f t="shared" si="6"/>
        <v>11.681422059743</v>
      </c>
      <c r="O41" s="4">
        <f t="shared" si="6"/>
        <v>11.0666722869794</v>
      </c>
      <c r="P41" s="4">
        <f t="shared" si="6"/>
        <v>10.3399108229341</v>
      </c>
      <c r="Q41" s="4">
        <f t="shared" si="6"/>
        <v>8.92113447712131</v>
      </c>
      <c r="R41" s="4">
        <f t="shared" si="6"/>
        <v>7.00716013716652</v>
      </c>
      <c r="S41" s="4">
        <f t="shared" si="5"/>
        <v>6.39678994920744</v>
      </c>
      <c r="T41" s="4">
        <f t="shared" si="5"/>
        <v>5.07001697629638</v>
      </c>
      <c r="U41" s="4">
        <f t="shared" si="5"/>
        <v>3.7329364330837</v>
      </c>
      <c r="V41" s="4">
        <f t="shared" si="5"/>
        <v>3.47524452421258</v>
      </c>
      <c r="W41" s="4">
        <f t="shared" si="5"/>
        <v>2.6977021492772</v>
      </c>
      <c r="X41" s="4">
        <f t="shared" si="5"/>
        <v>2.30314331564857</v>
      </c>
      <c r="Y41" s="4">
        <f t="shared" si="5"/>
        <v>1.89273596385744</v>
      </c>
      <c r="Z41" s="4">
        <f t="shared" si="5"/>
        <v>1.82860536855506</v>
      </c>
      <c r="AA41" s="4">
        <f t="shared" si="8"/>
        <v>1.62959706999433</v>
      </c>
      <c r="AB41" s="4">
        <f t="shared" si="8"/>
        <v>1.33900267937709</v>
      </c>
      <c r="AC41" s="4">
        <f t="shared" si="8"/>
        <v>1.10099690566229</v>
      </c>
      <c r="AD41" s="4">
        <f t="shared" si="8"/>
        <v>1.06163267055457</v>
      </c>
      <c r="AE41" s="4">
        <f t="shared" si="8"/>
        <v>0.901100657948643</v>
      </c>
      <c r="AF41" s="4">
        <f t="shared" si="8"/>
        <v>0.807475290877365</v>
      </c>
      <c r="AG41" s="4">
        <f t="shared" si="8"/>
        <v>0.737262970618166</v>
      </c>
      <c r="AH41" s="4">
        <f t="shared" si="8"/>
        <v>0.474161071875815</v>
      </c>
      <c r="AI41" s="4">
        <f t="shared" si="8"/>
        <v>0.325694305219964</v>
      </c>
      <c r="AJ41" s="4">
        <f t="shared" si="8"/>
        <v>0.254907408174699</v>
      </c>
    </row>
    <row r="42" spans="1:36">
      <c r="A42" t="str">
        <f>"semis_procurement_archetype_"&amp;TEXT(ROUND(Table26916[[#This Row],[2016]],3),"0.0")</f>
        <v>semis_procurement_archetype_16.3</v>
      </c>
      <c r="B42" s="4">
        <f t="shared" si="2"/>
        <v>16.3</v>
      </c>
      <c r="C42" s="4">
        <f t="shared" si="6"/>
        <v>16.3</v>
      </c>
      <c r="D42" s="4">
        <f t="shared" si="6"/>
        <v>16.3</v>
      </c>
      <c r="E42" s="4">
        <f t="shared" si="6"/>
        <v>15.9111073699686</v>
      </c>
      <c r="F42" s="4">
        <f t="shared" si="6"/>
        <v>14.9709367561655</v>
      </c>
      <c r="G42" s="4">
        <f t="shared" si="6"/>
        <v>15.1023749060766</v>
      </c>
      <c r="H42" s="4">
        <f t="shared" si="6"/>
        <v>14.6942843984944</v>
      </c>
      <c r="I42" s="4">
        <f t="shared" si="6"/>
        <v>13.9048614992766</v>
      </c>
      <c r="J42" s="4">
        <f t="shared" si="6"/>
        <v>13.4614033311396</v>
      </c>
      <c r="K42" s="4">
        <f t="shared" si="6"/>
        <v>13.006184146366</v>
      </c>
      <c r="L42" s="4">
        <f t="shared" si="6"/>
        <v>12.287112167943</v>
      </c>
      <c r="M42" s="4">
        <f t="shared" si="6"/>
        <v>12.1998391829015</v>
      </c>
      <c r="N42" s="4">
        <f t="shared" si="6"/>
        <v>11.6106481413738</v>
      </c>
      <c r="O42" s="4">
        <f t="shared" si="6"/>
        <v>10.9997060257622</v>
      </c>
      <c r="P42" s="4">
        <f t="shared" si="6"/>
        <v>10.2774460005281</v>
      </c>
      <c r="Q42" s="4">
        <f t="shared" si="6"/>
        <v>8.86745731782565</v>
      </c>
      <c r="R42" s="4">
        <f t="shared" si="6"/>
        <v>6.9653378144354</v>
      </c>
      <c r="S42" s="4">
        <f t="shared" si="5"/>
        <v>6.35874815721337</v>
      </c>
      <c r="T42" s="4">
        <f t="shared" si="5"/>
        <v>5.04019299392691</v>
      </c>
      <c r="U42" s="4">
        <f t="shared" si="5"/>
        <v>3.71139410370326</v>
      </c>
      <c r="V42" s="4">
        <f t="shared" si="5"/>
        <v>3.45529829536489</v>
      </c>
      <c r="W42" s="4">
        <f t="shared" si="5"/>
        <v>2.68257188769952</v>
      </c>
      <c r="X42" s="4">
        <f t="shared" si="5"/>
        <v>2.29045688541706</v>
      </c>
      <c r="Y42" s="4">
        <f t="shared" si="5"/>
        <v>1.88259152803976</v>
      </c>
      <c r="Z42" s="4">
        <f t="shared" si="5"/>
        <v>1.81885814690594</v>
      </c>
      <c r="AA42" s="4">
        <f t="shared" si="8"/>
        <v>1.62108247242234</v>
      </c>
      <c r="AB42" s="4">
        <f t="shared" si="8"/>
        <v>1.33228797480023</v>
      </c>
      <c r="AC42" s="4">
        <f t="shared" si="8"/>
        <v>1.09575636899348</v>
      </c>
      <c r="AD42" s="4">
        <f t="shared" si="8"/>
        <v>1.05663594936644</v>
      </c>
      <c r="AE42" s="4">
        <f t="shared" si="8"/>
        <v>0.897098245165323</v>
      </c>
      <c r="AF42" s="4">
        <f t="shared" si="8"/>
        <v>0.804052777940013</v>
      </c>
      <c r="AG42" s="4">
        <f t="shared" si="8"/>
        <v>0.734275341035368</v>
      </c>
      <c r="AH42" s="4">
        <f t="shared" si="8"/>
        <v>0.472803051397121</v>
      </c>
      <c r="AI42" s="4">
        <f t="shared" si="8"/>
        <v>0.325255863033011</v>
      </c>
      <c r="AJ42" s="4">
        <f t="shared" si="8"/>
        <v>0.254907408174699</v>
      </c>
    </row>
    <row r="43" spans="1:36">
      <c r="A43" t="str">
        <f>"semis_procurement_archetype_"&amp;TEXT(ROUND(Table26916[[#This Row],[2016]],3),"0.0")</f>
        <v>semis_procurement_archetype_16.2</v>
      </c>
      <c r="B43" s="4">
        <f t="shared" si="2"/>
        <v>16.2</v>
      </c>
      <c r="C43" s="4">
        <f t="shared" si="6"/>
        <v>16.2</v>
      </c>
      <c r="D43" s="4">
        <f t="shared" si="6"/>
        <v>16.2</v>
      </c>
      <c r="E43" s="4">
        <f t="shared" si="6"/>
        <v>15.8135311180885</v>
      </c>
      <c r="F43" s="4">
        <f t="shared" si="6"/>
        <v>14.8792200567212</v>
      </c>
      <c r="G43" s="4">
        <f t="shared" si="6"/>
        <v>15.009839026879</v>
      </c>
      <c r="H43" s="4">
        <f t="shared" si="6"/>
        <v>14.6042919169447</v>
      </c>
      <c r="I43" s="4">
        <f t="shared" si="6"/>
        <v>13.8197890447988</v>
      </c>
      <c r="J43" s="4">
        <f t="shared" si="6"/>
        <v>13.3790947009625</v>
      </c>
      <c r="K43" s="4">
        <f t="shared" si="6"/>
        <v>12.926712640264</v>
      </c>
      <c r="L43" s="4">
        <f t="shared" si="6"/>
        <v>12.2121222313571</v>
      </c>
      <c r="M43" s="4">
        <f t="shared" si="6"/>
        <v>12.1253931695403</v>
      </c>
      <c r="N43" s="4">
        <f t="shared" si="6"/>
        <v>11.5398742230046</v>
      </c>
      <c r="O43" s="4">
        <f t="shared" si="6"/>
        <v>10.932739764545</v>
      </c>
      <c r="P43" s="4">
        <f t="shared" si="6"/>
        <v>10.2149811781222</v>
      </c>
      <c r="Q43" s="4">
        <f t="shared" si="6"/>
        <v>8.81378015852998</v>
      </c>
      <c r="R43" s="4">
        <f t="shared" si="6"/>
        <v>6.92351549170428</v>
      </c>
      <c r="S43" s="4">
        <f t="shared" si="5"/>
        <v>6.32070636521929</v>
      </c>
      <c r="T43" s="4">
        <f t="shared" si="5"/>
        <v>5.01036901155743</v>
      </c>
      <c r="U43" s="4">
        <f t="shared" si="5"/>
        <v>3.68985177432281</v>
      </c>
      <c r="V43" s="4">
        <f t="shared" si="5"/>
        <v>3.43535206651719</v>
      </c>
      <c r="W43" s="4">
        <f t="shared" si="5"/>
        <v>2.66744162612183</v>
      </c>
      <c r="X43" s="4">
        <f t="shared" si="5"/>
        <v>2.27777045518556</v>
      </c>
      <c r="Y43" s="4">
        <f t="shared" si="5"/>
        <v>1.87244709222208</v>
      </c>
      <c r="Z43" s="4">
        <f t="shared" si="5"/>
        <v>1.80911092525682</v>
      </c>
      <c r="AA43" s="4">
        <f t="shared" si="8"/>
        <v>1.61256787485034</v>
      </c>
      <c r="AB43" s="4">
        <f t="shared" si="8"/>
        <v>1.32557327022336</v>
      </c>
      <c r="AC43" s="4">
        <f t="shared" si="8"/>
        <v>1.09051583232467</v>
      </c>
      <c r="AD43" s="4">
        <f t="shared" si="8"/>
        <v>1.0516392281783</v>
      </c>
      <c r="AE43" s="4">
        <f t="shared" si="8"/>
        <v>0.893095832382004</v>
      </c>
      <c r="AF43" s="4">
        <f t="shared" si="8"/>
        <v>0.800630265002661</v>
      </c>
      <c r="AG43" s="4">
        <f t="shared" si="8"/>
        <v>0.73128771145257</v>
      </c>
      <c r="AH43" s="4">
        <f t="shared" si="8"/>
        <v>0.471445030918427</v>
      </c>
      <c r="AI43" s="4">
        <f t="shared" si="8"/>
        <v>0.324817420846057</v>
      </c>
      <c r="AJ43" s="4">
        <f t="shared" si="8"/>
        <v>0.254907408174699</v>
      </c>
    </row>
    <row r="44" spans="1:36">
      <c r="A44" t="str">
        <f>"semis_procurement_archetype_"&amp;TEXT(ROUND(Table26916[[#This Row],[2016]],3),"0.0")</f>
        <v>semis_procurement_archetype_16.1</v>
      </c>
      <c r="B44" s="4">
        <f t="shared" si="2"/>
        <v>16.1</v>
      </c>
      <c r="C44" s="4">
        <f t="shared" si="6"/>
        <v>16.1</v>
      </c>
      <c r="D44" s="4">
        <f t="shared" si="6"/>
        <v>16.1</v>
      </c>
      <c r="E44" s="4">
        <f t="shared" si="6"/>
        <v>15.7159548662084</v>
      </c>
      <c r="F44" s="4">
        <f t="shared" si="6"/>
        <v>14.787503357277</v>
      </c>
      <c r="G44" s="4">
        <f t="shared" si="6"/>
        <v>14.9173031476815</v>
      </c>
      <c r="H44" s="4">
        <f t="shared" si="6"/>
        <v>14.5142994353951</v>
      </c>
      <c r="I44" s="4">
        <f t="shared" si="6"/>
        <v>13.734716590321</v>
      </c>
      <c r="J44" s="4">
        <f t="shared" si="6"/>
        <v>13.2967860707855</v>
      </c>
      <c r="K44" s="4">
        <f t="shared" si="6"/>
        <v>12.8472411341619</v>
      </c>
      <c r="L44" s="4">
        <f t="shared" si="6"/>
        <v>12.1371322947711</v>
      </c>
      <c r="M44" s="4">
        <f t="shared" si="6"/>
        <v>12.0509471561791</v>
      </c>
      <c r="N44" s="4">
        <f t="shared" si="6"/>
        <v>11.4691003046354</v>
      </c>
      <c r="O44" s="4">
        <f t="shared" si="6"/>
        <v>10.8657735033277</v>
      </c>
      <c r="P44" s="4">
        <f t="shared" si="6"/>
        <v>10.1525163557162</v>
      </c>
      <c r="Q44" s="4">
        <f t="shared" si="6"/>
        <v>8.76010299923432</v>
      </c>
      <c r="R44" s="4">
        <f t="shared" ref="R44:AG59" si="9">(($B44-$AJ$2)*((R$2-$AJ$2)/($B$2-$AJ$2)))+$AJ$2</f>
        <v>6.88169316897315</v>
      </c>
      <c r="S44" s="4">
        <f t="shared" si="9"/>
        <v>6.28266457322522</v>
      </c>
      <c r="T44" s="4">
        <f t="shared" si="9"/>
        <v>4.98054502918795</v>
      </c>
      <c r="U44" s="4">
        <f t="shared" si="9"/>
        <v>3.66830944494236</v>
      </c>
      <c r="V44" s="4">
        <f t="shared" si="9"/>
        <v>3.4154058376695</v>
      </c>
      <c r="W44" s="4">
        <f t="shared" si="9"/>
        <v>2.65231136454415</v>
      </c>
      <c r="X44" s="4">
        <f t="shared" si="9"/>
        <v>2.26508402495405</v>
      </c>
      <c r="Y44" s="4">
        <f t="shared" si="9"/>
        <v>1.8623026564044</v>
      </c>
      <c r="Z44" s="4">
        <f t="shared" si="9"/>
        <v>1.79936370360771</v>
      </c>
      <c r="AA44" s="4">
        <f t="shared" si="9"/>
        <v>1.60405327727835</v>
      </c>
      <c r="AB44" s="4">
        <f t="shared" si="9"/>
        <v>1.3188585656465</v>
      </c>
      <c r="AC44" s="4">
        <f t="shared" si="9"/>
        <v>1.08527529565586</v>
      </c>
      <c r="AD44" s="4">
        <f t="shared" si="9"/>
        <v>1.04664250699017</v>
      </c>
      <c r="AE44" s="4">
        <f t="shared" si="9"/>
        <v>0.889093419598685</v>
      </c>
      <c r="AF44" s="4">
        <f t="shared" si="9"/>
        <v>0.797207752065309</v>
      </c>
      <c r="AG44" s="4">
        <f t="shared" si="9"/>
        <v>0.728300081869772</v>
      </c>
      <c r="AH44" s="4">
        <f t="shared" si="8"/>
        <v>0.470087010439733</v>
      </c>
      <c r="AI44" s="4">
        <f t="shared" si="8"/>
        <v>0.324378978659104</v>
      </c>
      <c r="AJ44" s="4">
        <f t="shared" si="8"/>
        <v>0.254907408174699</v>
      </c>
    </row>
    <row r="45" spans="1:36">
      <c r="A45" t="str">
        <f>"semis_procurement_archetype_"&amp;TEXT(ROUND(Table26916[[#This Row],[2016]],3),"0.0")</f>
        <v>semis_procurement_archetype_16.0</v>
      </c>
      <c r="B45" s="4">
        <f t="shared" si="2"/>
        <v>16</v>
      </c>
      <c r="C45" s="4">
        <f t="shared" ref="C45:R60" si="10">(($B45-$AJ$2)*((C$2-$AJ$2)/($B$2-$AJ$2)))+$AJ$2</f>
        <v>16</v>
      </c>
      <c r="D45" s="4">
        <f t="shared" si="10"/>
        <v>16</v>
      </c>
      <c r="E45" s="4">
        <f t="shared" si="10"/>
        <v>15.6183786143283</v>
      </c>
      <c r="F45" s="4">
        <f t="shared" si="10"/>
        <v>14.6957866578328</v>
      </c>
      <c r="G45" s="4">
        <f t="shared" si="10"/>
        <v>14.824767268484</v>
      </c>
      <c r="H45" s="4">
        <f t="shared" si="10"/>
        <v>14.4243069538455</v>
      </c>
      <c r="I45" s="4">
        <f t="shared" si="10"/>
        <v>13.6496441358432</v>
      </c>
      <c r="J45" s="4">
        <f t="shared" si="10"/>
        <v>13.2144774406085</v>
      </c>
      <c r="K45" s="4">
        <f t="shared" si="10"/>
        <v>12.7677696280599</v>
      </c>
      <c r="L45" s="4">
        <f t="shared" si="10"/>
        <v>12.0621423581851</v>
      </c>
      <c r="M45" s="4">
        <f t="shared" si="10"/>
        <v>11.9765011428179</v>
      </c>
      <c r="N45" s="4">
        <f t="shared" si="10"/>
        <v>11.3983263862662</v>
      </c>
      <c r="O45" s="4">
        <f t="shared" si="10"/>
        <v>10.7988072421105</v>
      </c>
      <c r="P45" s="4">
        <f t="shared" si="10"/>
        <v>10.0900515333103</v>
      </c>
      <c r="Q45" s="4">
        <f t="shared" si="10"/>
        <v>8.70642583993865</v>
      </c>
      <c r="R45" s="4">
        <f t="shared" si="10"/>
        <v>6.83987084624203</v>
      </c>
      <c r="S45" s="4">
        <f t="shared" si="9"/>
        <v>6.24462278123115</v>
      </c>
      <c r="T45" s="4">
        <f t="shared" si="9"/>
        <v>4.95072104681848</v>
      </c>
      <c r="U45" s="4">
        <f t="shared" si="9"/>
        <v>3.64676711556192</v>
      </c>
      <c r="V45" s="4">
        <f t="shared" si="9"/>
        <v>3.3954596088218</v>
      </c>
      <c r="W45" s="4">
        <f t="shared" si="9"/>
        <v>2.63718110296646</v>
      </c>
      <c r="X45" s="4">
        <f t="shared" si="9"/>
        <v>2.25239759472255</v>
      </c>
      <c r="Y45" s="4">
        <f t="shared" si="9"/>
        <v>1.85215822058672</v>
      </c>
      <c r="Z45" s="4">
        <f t="shared" si="9"/>
        <v>1.78961648195859</v>
      </c>
      <c r="AA45" s="4">
        <f t="shared" si="9"/>
        <v>1.59553867970636</v>
      </c>
      <c r="AB45" s="4">
        <f t="shared" si="9"/>
        <v>1.31214386106963</v>
      </c>
      <c r="AC45" s="4">
        <f t="shared" si="9"/>
        <v>1.08003475898706</v>
      </c>
      <c r="AD45" s="4">
        <f t="shared" si="9"/>
        <v>1.04164578580203</v>
      </c>
      <c r="AE45" s="4">
        <f t="shared" si="9"/>
        <v>0.885091006815365</v>
      </c>
      <c r="AF45" s="4">
        <f t="shared" si="9"/>
        <v>0.793785239127957</v>
      </c>
      <c r="AG45" s="4">
        <f t="shared" si="9"/>
        <v>0.725312452286975</v>
      </c>
      <c r="AH45" s="4">
        <f t="shared" si="8"/>
        <v>0.468728989961039</v>
      </c>
      <c r="AI45" s="4">
        <f t="shared" si="8"/>
        <v>0.32394053647215</v>
      </c>
      <c r="AJ45" s="4">
        <f t="shared" si="8"/>
        <v>0.254907408174699</v>
      </c>
    </row>
    <row r="46" spans="1:36">
      <c r="A46" t="str">
        <f>"semis_procurement_archetype_"&amp;TEXT(ROUND(Table26916[[#This Row],[2016]],3),"0.0")</f>
        <v>semis_procurement_archetype_15.9</v>
      </c>
      <c r="B46" s="4">
        <f t="shared" si="2"/>
        <v>15.9</v>
      </c>
      <c r="C46" s="4">
        <f t="shared" si="10"/>
        <v>15.9</v>
      </c>
      <c r="D46" s="4">
        <f t="shared" si="10"/>
        <v>15.9</v>
      </c>
      <c r="E46" s="4">
        <f t="shared" si="10"/>
        <v>15.5208023624482</v>
      </c>
      <c r="F46" s="4">
        <f t="shared" si="10"/>
        <v>14.6040699583886</v>
      </c>
      <c r="G46" s="4">
        <f t="shared" si="10"/>
        <v>14.7322313892865</v>
      </c>
      <c r="H46" s="4">
        <f t="shared" si="10"/>
        <v>14.3343144722958</v>
      </c>
      <c r="I46" s="4">
        <f t="shared" si="10"/>
        <v>13.5645716813654</v>
      </c>
      <c r="J46" s="4">
        <f t="shared" si="10"/>
        <v>13.1321688104315</v>
      </c>
      <c r="K46" s="4">
        <f t="shared" si="10"/>
        <v>12.6882981219579</v>
      </c>
      <c r="L46" s="4">
        <f t="shared" si="10"/>
        <v>11.9871524215992</v>
      </c>
      <c r="M46" s="4">
        <f t="shared" si="10"/>
        <v>11.9020551294568</v>
      </c>
      <c r="N46" s="4">
        <f t="shared" si="10"/>
        <v>11.327552467897</v>
      </c>
      <c r="O46" s="4">
        <f t="shared" si="10"/>
        <v>10.7318409808933</v>
      </c>
      <c r="P46" s="4">
        <f t="shared" si="10"/>
        <v>10.0275867109043</v>
      </c>
      <c r="Q46" s="4">
        <f t="shared" si="10"/>
        <v>8.65274868064299</v>
      </c>
      <c r="R46" s="4">
        <f t="shared" si="10"/>
        <v>6.79804852351091</v>
      </c>
      <c r="S46" s="4">
        <f t="shared" si="9"/>
        <v>6.20658098923707</v>
      </c>
      <c r="T46" s="4">
        <f t="shared" si="9"/>
        <v>4.920897064449</v>
      </c>
      <c r="U46" s="4">
        <f t="shared" si="9"/>
        <v>3.62522478618147</v>
      </c>
      <c r="V46" s="4">
        <f t="shared" si="9"/>
        <v>3.3755133799741</v>
      </c>
      <c r="W46" s="4">
        <f t="shared" si="9"/>
        <v>2.62205084138878</v>
      </c>
      <c r="X46" s="4">
        <f t="shared" si="9"/>
        <v>2.23971116449104</v>
      </c>
      <c r="Y46" s="4">
        <f t="shared" si="9"/>
        <v>1.84201378476904</v>
      </c>
      <c r="Z46" s="4">
        <f t="shared" si="9"/>
        <v>1.77986926030947</v>
      </c>
      <c r="AA46" s="4">
        <f t="shared" si="9"/>
        <v>1.58702408213436</v>
      </c>
      <c r="AB46" s="4">
        <f t="shared" si="9"/>
        <v>1.30542915649277</v>
      </c>
      <c r="AC46" s="4">
        <f t="shared" si="9"/>
        <v>1.07479422231825</v>
      </c>
      <c r="AD46" s="4">
        <f t="shared" si="9"/>
        <v>1.03664906461389</v>
      </c>
      <c r="AE46" s="4">
        <f t="shared" si="9"/>
        <v>0.881088594032046</v>
      </c>
      <c r="AF46" s="4">
        <f t="shared" si="9"/>
        <v>0.790362726190605</v>
      </c>
      <c r="AG46" s="4">
        <f t="shared" si="9"/>
        <v>0.722324822704177</v>
      </c>
      <c r="AH46" s="4">
        <f t="shared" si="8"/>
        <v>0.467370969482344</v>
      </c>
      <c r="AI46" s="4">
        <f t="shared" si="8"/>
        <v>0.323502094285197</v>
      </c>
      <c r="AJ46" s="4">
        <f t="shared" si="8"/>
        <v>0.254907408174699</v>
      </c>
    </row>
    <row r="47" spans="1:36">
      <c r="A47" t="str">
        <f>"semis_procurement_archetype_"&amp;TEXT(ROUND(Table26916[[#This Row],[2016]],3),"0.0")</f>
        <v>semis_procurement_archetype_15.8</v>
      </c>
      <c r="B47" s="4">
        <f t="shared" si="2"/>
        <v>15.8</v>
      </c>
      <c r="C47" s="4">
        <f t="shared" si="10"/>
        <v>15.8</v>
      </c>
      <c r="D47" s="4">
        <f t="shared" si="10"/>
        <v>15.8</v>
      </c>
      <c r="E47" s="4">
        <f t="shared" si="10"/>
        <v>15.4232261105681</v>
      </c>
      <c r="F47" s="4">
        <f t="shared" si="10"/>
        <v>14.5123532589444</v>
      </c>
      <c r="G47" s="4">
        <f t="shared" si="10"/>
        <v>14.639695510089</v>
      </c>
      <c r="H47" s="4">
        <f t="shared" si="10"/>
        <v>14.2443219907462</v>
      </c>
      <c r="I47" s="4">
        <f t="shared" si="10"/>
        <v>13.4794992268876</v>
      </c>
      <c r="J47" s="4">
        <f t="shared" si="10"/>
        <v>13.0498601802545</v>
      </c>
      <c r="K47" s="4">
        <f t="shared" si="10"/>
        <v>12.6088266158558</v>
      </c>
      <c r="L47" s="4">
        <f t="shared" si="10"/>
        <v>11.9121624850132</v>
      </c>
      <c r="M47" s="4">
        <f t="shared" si="10"/>
        <v>11.8276091160956</v>
      </c>
      <c r="N47" s="4">
        <f t="shared" si="10"/>
        <v>11.2567785495278</v>
      </c>
      <c r="O47" s="4">
        <f t="shared" si="10"/>
        <v>10.6648747196761</v>
      </c>
      <c r="P47" s="4">
        <f t="shared" si="10"/>
        <v>9.9651218884984</v>
      </c>
      <c r="Q47" s="4">
        <f t="shared" si="10"/>
        <v>8.59907152134732</v>
      </c>
      <c r="R47" s="4">
        <f t="shared" si="10"/>
        <v>6.75622620077978</v>
      </c>
      <c r="S47" s="4">
        <f t="shared" si="9"/>
        <v>6.168539197243</v>
      </c>
      <c r="T47" s="4">
        <f t="shared" si="9"/>
        <v>4.89107308207952</v>
      </c>
      <c r="U47" s="4">
        <f t="shared" si="9"/>
        <v>3.60368245680103</v>
      </c>
      <c r="V47" s="4">
        <f t="shared" si="9"/>
        <v>3.35556715112641</v>
      </c>
      <c r="W47" s="4">
        <f t="shared" si="9"/>
        <v>2.6069205798111</v>
      </c>
      <c r="X47" s="4">
        <f t="shared" si="9"/>
        <v>2.22702473425954</v>
      </c>
      <c r="Y47" s="4">
        <f t="shared" si="9"/>
        <v>1.83186934895136</v>
      </c>
      <c r="Z47" s="4">
        <f t="shared" si="9"/>
        <v>1.77012203866036</v>
      </c>
      <c r="AA47" s="4">
        <f t="shared" si="9"/>
        <v>1.57850948456237</v>
      </c>
      <c r="AB47" s="4">
        <f t="shared" si="9"/>
        <v>1.2987144519159</v>
      </c>
      <c r="AC47" s="4">
        <f t="shared" si="9"/>
        <v>1.06955368564944</v>
      </c>
      <c r="AD47" s="4">
        <f t="shared" si="9"/>
        <v>1.03165234342576</v>
      </c>
      <c r="AE47" s="4">
        <f t="shared" si="9"/>
        <v>0.877086181248727</v>
      </c>
      <c r="AF47" s="4">
        <f t="shared" si="9"/>
        <v>0.786940213253253</v>
      </c>
      <c r="AG47" s="4">
        <f t="shared" si="9"/>
        <v>0.719337193121379</v>
      </c>
      <c r="AH47" s="4">
        <f t="shared" si="8"/>
        <v>0.46601294900365</v>
      </c>
      <c r="AI47" s="4">
        <f t="shared" si="8"/>
        <v>0.323063652098243</v>
      </c>
      <c r="AJ47" s="4">
        <f t="shared" si="8"/>
        <v>0.254907408174699</v>
      </c>
    </row>
    <row r="48" spans="1:36">
      <c r="A48" t="str">
        <f>"semis_procurement_archetype_"&amp;TEXT(ROUND(Table26916[[#This Row],[2016]],3),"0.0")</f>
        <v>semis_procurement_archetype_15.7</v>
      </c>
      <c r="B48" s="4">
        <f t="shared" si="2"/>
        <v>15.7</v>
      </c>
      <c r="C48" s="4">
        <f t="shared" si="10"/>
        <v>15.7</v>
      </c>
      <c r="D48" s="4">
        <f t="shared" si="10"/>
        <v>15.7</v>
      </c>
      <c r="E48" s="4">
        <f t="shared" si="10"/>
        <v>15.325649858688</v>
      </c>
      <c r="F48" s="4">
        <f t="shared" si="10"/>
        <v>14.4206365595002</v>
      </c>
      <c r="G48" s="4">
        <f t="shared" si="10"/>
        <v>14.5471596308914</v>
      </c>
      <c r="H48" s="4">
        <f t="shared" si="10"/>
        <v>14.1543295091966</v>
      </c>
      <c r="I48" s="4">
        <f t="shared" si="10"/>
        <v>13.3944267724098</v>
      </c>
      <c r="J48" s="4">
        <f t="shared" si="10"/>
        <v>12.9675515500775</v>
      </c>
      <c r="K48" s="4">
        <f t="shared" si="10"/>
        <v>12.5293551097538</v>
      </c>
      <c r="L48" s="4">
        <f t="shared" si="10"/>
        <v>11.8371725484273</v>
      </c>
      <c r="M48" s="4">
        <f t="shared" si="10"/>
        <v>11.7531631027344</v>
      </c>
      <c r="N48" s="4">
        <f t="shared" si="10"/>
        <v>11.1860046311586</v>
      </c>
      <c r="O48" s="4">
        <f t="shared" si="10"/>
        <v>10.5979084584588</v>
      </c>
      <c r="P48" s="4">
        <f t="shared" si="10"/>
        <v>9.90265706609245</v>
      </c>
      <c r="Q48" s="4">
        <f t="shared" si="10"/>
        <v>8.54539436205166</v>
      </c>
      <c r="R48" s="4">
        <f t="shared" si="10"/>
        <v>6.71440387804866</v>
      </c>
      <c r="S48" s="4">
        <f t="shared" si="9"/>
        <v>6.13049740524893</v>
      </c>
      <c r="T48" s="4">
        <f t="shared" si="9"/>
        <v>4.86124909971004</v>
      </c>
      <c r="U48" s="4">
        <f t="shared" si="9"/>
        <v>3.58214012742058</v>
      </c>
      <c r="V48" s="4">
        <f t="shared" si="9"/>
        <v>3.33562092227871</v>
      </c>
      <c r="W48" s="4">
        <f t="shared" si="9"/>
        <v>2.59179031823341</v>
      </c>
      <c r="X48" s="4">
        <f t="shared" si="9"/>
        <v>2.21433830402803</v>
      </c>
      <c r="Y48" s="4">
        <f t="shared" si="9"/>
        <v>1.82172491313368</v>
      </c>
      <c r="Z48" s="4">
        <f t="shared" si="9"/>
        <v>1.76037481701124</v>
      </c>
      <c r="AA48" s="4">
        <f t="shared" si="9"/>
        <v>1.56999488699038</v>
      </c>
      <c r="AB48" s="4">
        <f t="shared" si="9"/>
        <v>1.29199974733904</v>
      </c>
      <c r="AC48" s="4">
        <f t="shared" si="9"/>
        <v>1.06431314898063</v>
      </c>
      <c r="AD48" s="4">
        <f t="shared" si="9"/>
        <v>1.02665562223762</v>
      </c>
      <c r="AE48" s="4">
        <f t="shared" si="9"/>
        <v>0.873083768465408</v>
      </c>
      <c r="AF48" s="4">
        <f t="shared" si="9"/>
        <v>0.783517700315902</v>
      </c>
      <c r="AG48" s="4">
        <f t="shared" si="9"/>
        <v>0.716349563538581</v>
      </c>
      <c r="AH48" s="4">
        <f t="shared" si="8"/>
        <v>0.464654928524956</v>
      </c>
      <c r="AI48" s="4">
        <f t="shared" si="8"/>
        <v>0.32262520991129</v>
      </c>
      <c r="AJ48" s="4">
        <f t="shared" si="8"/>
        <v>0.254907408174699</v>
      </c>
    </row>
    <row r="49" spans="1:36">
      <c r="A49" t="str">
        <f>"semis_procurement_archetype_"&amp;TEXT(ROUND(Table26916[[#This Row],[2016]],3),"0.0")</f>
        <v>semis_procurement_archetype_15.6</v>
      </c>
      <c r="B49" s="4">
        <f t="shared" si="2"/>
        <v>15.6</v>
      </c>
      <c r="C49" s="4">
        <f t="shared" si="10"/>
        <v>15.6</v>
      </c>
      <c r="D49" s="4">
        <f t="shared" si="10"/>
        <v>15.6</v>
      </c>
      <c r="E49" s="4">
        <f t="shared" si="10"/>
        <v>15.2280736068079</v>
      </c>
      <c r="F49" s="4">
        <f t="shared" si="10"/>
        <v>14.3289198600559</v>
      </c>
      <c r="G49" s="4">
        <f t="shared" si="10"/>
        <v>14.4546237516939</v>
      </c>
      <c r="H49" s="4">
        <f t="shared" si="10"/>
        <v>14.0643370276469</v>
      </c>
      <c r="I49" s="4">
        <f t="shared" si="10"/>
        <v>13.309354317932</v>
      </c>
      <c r="J49" s="4">
        <f t="shared" si="10"/>
        <v>12.8852429199005</v>
      </c>
      <c r="K49" s="4">
        <f t="shared" si="10"/>
        <v>12.4498836036517</v>
      </c>
      <c r="L49" s="4">
        <f t="shared" si="10"/>
        <v>11.7621826118413</v>
      </c>
      <c r="M49" s="4">
        <f t="shared" si="10"/>
        <v>11.6787170893732</v>
      </c>
      <c r="N49" s="4">
        <f t="shared" si="10"/>
        <v>11.1152307127895</v>
      </c>
      <c r="O49" s="4">
        <f t="shared" si="10"/>
        <v>10.5309421972416</v>
      </c>
      <c r="P49" s="4">
        <f t="shared" si="10"/>
        <v>9.8401922436865</v>
      </c>
      <c r="Q49" s="4">
        <f t="shared" si="10"/>
        <v>8.49171720275599</v>
      </c>
      <c r="R49" s="4">
        <f t="shared" si="10"/>
        <v>6.67258155531754</v>
      </c>
      <c r="S49" s="4">
        <f t="shared" si="9"/>
        <v>6.09245561325485</v>
      </c>
      <c r="T49" s="4">
        <f t="shared" si="9"/>
        <v>4.83142511734057</v>
      </c>
      <c r="U49" s="4">
        <f t="shared" si="9"/>
        <v>3.56059779804013</v>
      </c>
      <c r="V49" s="4">
        <f t="shared" si="9"/>
        <v>3.31567469343102</v>
      </c>
      <c r="W49" s="4">
        <f t="shared" si="9"/>
        <v>2.57666005665573</v>
      </c>
      <c r="X49" s="4">
        <f t="shared" si="9"/>
        <v>2.20165187379653</v>
      </c>
      <c r="Y49" s="4">
        <f t="shared" si="9"/>
        <v>1.811580477316</v>
      </c>
      <c r="Z49" s="4">
        <f t="shared" si="9"/>
        <v>1.75062759536212</v>
      </c>
      <c r="AA49" s="4">
        <f t="shared" si="9"/>
        <v>1.56148028941838</v>
      </c>
      <c r="AB49" s="4">
        <f t="shared" si="9"/>
        <v>1.28528504276217</v>
      </c>
      <c r="AC49" s="4">
        <f t="shared" si="9"/>
        <v>1.05907261231182</v>
      </c>
      <c r="AD49" s="4">
        <f t="shared" si="9"/>
        <v>1.02165890104949</v>
      </c>
      <c r="AE49" s="4">
        <f t="shared" si="9"/>
        <v>0.869081355682089</v>
      </c>
      <c r="AF49" s="4">
        <f t="shared" si="9"/>
        <v>0.78009518737855</v>
      </c>
      <c r="AG49" s="4">
        <f t="shared" si="9"/>
        <v>0.713361933955784</v>
      </c>
      <c r="AH49" s="4">
        <f t="shared" si="8"/>
        <v>0.463296908046262</v>
      </c>
      <c r="AI49" s="4">
        <f t="shared" si="8"/>
        <v>0.322186767724336</v>
      </c>
      <c r="AJ49" s="4">
        <f t="shared" si="8"/>
        <v>0.254907408174699</v>
      </c>
    </row>
    <row r="50" spans="1:36">
      <c r="A50" t="str">
        <f>"semis_procurement_archetype_"&amp;TEXT(ROUND(Table26916[[#This Row],[2016]],3),"0.0")</f>
        <v>semis_procurement_archetype_15.5</v>
      </c>
      <c r="B50" s="4">
        <f t="shared" si="2"/>
        <v>15.5</v>
      </c>
      <c r="C50" s="4">
        <f t="shared" si="10"/>
        <v>15.5</v>
      </c>
      <c r="D50" s="4">
        <f t="shared" si="10"/>
        <v>15.5</v>
      </c>
      <c r="E50" s="4">
        <f t="shared" si="10"/>
        <v>15.1304973549278</v>
      </c>
      <c r="F50" s="4">
        <f t="shared" si="10"/>
        <v>14.2372031606117</v>
      </c>
      <c r="G50" s="4">
        <f t="shared" si="10"/>
        <v>14.3620878724964</v>
      </c>
      <c r="H50" s="4">
        <f t="shared" si="10"/>
        <v>13.9743445460973</v>
      </c>
      <c r="I50" s="4">
        <f t="shared" si="10"/>
        <v>13.2242818634542</v>
      </c>
      <c r="J50" s="4">
        <f t="shared" si="10"/>
        <v>12.8029342897234</v>
      </c>
      <c r="K50" s="4">
        <f t="shared" si="10"/>
        <v>12.3704120975497</v>
      </c>
      <c r="L50" s="4">
        <f t="shared" si="10"/>
        <v>11.6871926752553</v>
      </c>
      <c r="M50" s="4">
        <f t="shared" si="10"/>
        <v>11.604271076012</v>
      </c>
      <c r="N50" s="4">
        <f t="shared" si="10"/>
        <v>11.0444567944203</v>
      </c>
      <c r="O50" s="4">
        <f t="shared" si="10"/>
        <v>10.4639759360244</v>
      </c>
      <c r="P50" s="4">
        <f t="shared" si="10"/>
        <v>9.77772742128056</v>
      </c>
      <c r="Q50" s="4">
        <f t="shared" si="10"/>
        <v>8.43804004346033</v>
      </c>
      <c r="R50" s="4">
        <f t="shared" si="10"/>
        <v>6.63075923258641</v>
      </c>
      <c r="S50" s="4">
        <f t="shared" si="9"/>
        <v>6.05441382126078</v>
      </c>
      <c r="T50" s="4">
        <f t="shared" si="9"/>
        <v>4.80160113497109</v>
      </c>
      <c r="U50" s="4">
        <f t="shared" si="9"/>
        <v>3.53905546865969</v>
      </c>
      <c r="V50" s="4">
        <f t="shared" si="9"/>
        <v>3.29572846458332</v>
      </c>
      <c r="W50" s="4">
        <f t="shared" si="9"/>
        <v>2.56152979507804</v>
      </c>
      <c r="X50" s="4">
        <f t="shared" si="9"/>
        <v>2.18896544356502</v>
      </c>
      <c r="Y50" s="4">
        <f t="shared" si="9"/>
        <v>1.80143604149832</v>
      </c>
      <c r="Z50" s="4">
        <f t="shared" si="9"/>
        <v>1.74088037371301</v>
      </c>
      <c r="AA50" s="4">
        <f t="shared" si="9"/>
        <v>1.55296569184639</v>
      </c>
      <c r="AB50" s="4">
        <f t="shared" si="9"/>
        <v>1.27857033818531</v>
      </c>
      <c r="AC50" s="4">
        <f t="shared" si="9"/>
        <v>1.05383207564302</v>
      </c>
      <c r="AD50" s="4">
        <f t="shared" si="9"/>
        <v>1.01666217986135</v>
      </c>
      <c r="AE50" s="4">
        <f t="shared" si="9"/>
        <v>0.865078942898769</v>
      </c>
      <c r="AF50" s="4">
        <f t="shared" si="9"/>
        <v>0.776672674441198</v>
      </c>
      <c r="AG50" s="4">
        <f t="shared" si="9"/>
        <v>0.710374304372986</v>
      </c>
      <c r="AH50" s="4">
        <f t="shared" si="8"/>
        <v>0.461938887567568</v>
      </c>
      <c r="AI50" s="4">
        <f t="shared" si="8"/>
        <v>0.321748325537383</v>
      </c>
      <c r="AJ50" s="4">
        <f t="shared" si="8"/>
        <v>0.254907408174699</v>
      </c>
    </row>
    <row r="51" spans="1:36">
      <c r="A51" t="str">
        <f>"semis_procurement_archetype_"&amp;TEXT(ROUND(Table26916[[#This Row],[2016]],3),"0.0")</f>
        <v>semis_procurement_archetype_15.4</v>
      </c>
      <c r="B51" s="4">
        <f t="shared" si="2"/>
        <v>15.4</v>
      </c>
      <c r="C51" s="4">
        <f t="shared" si="10"/>
        <v>15.4</v>
      </c>
      <c r="D51" s="4">
        <f t="shared" si="10"/>
        <v>15.4</v>
      </c>
      <c r="E51" s="4">
        <f t="shared" si="10"/>
        <v>15.0329211030477</v>
      </c>
      <c r="F51" s="4">
        <f t="shared" si="10"/>
        <v>14.1454864611675</v>
      </c>
      <c r="G51" s="4">
        <f t="shared" si="10"/>
        <v>14.2695519932989</v>
      </c>
      <c r="H51" s="4">
        <f t="shared" si="10"/>
        <v>13.8843520645477</v>
      </c>
      <c r="I51" s="4">
        <f t="shared" si="10"/>
        <v>13.1392094089764</v>
      </c>
      <c r="J51" s="4">
        <f t="shared" si="10"/>
        <v>12.7206256595464</v>
      </c>
      <c r="K51" s="4">
        <f t="shared" si="10"/>
        <v>12.2909405914476</v>
      </c>
      <c r="L51" s="4">
        <f t="shared" si="10"/>
        <v>11.6122027386694</v>
      </c>
      <c r="M51" s="4">
        <f t="shared" si="10"/>
        <v>11.5298250626508</v>
      </c>
      <c r="N51" s="4">
        <f t="shared" si="10"/>
        <v>10.9736828760511</v>
      </c>
      <c r="O51" s="4">
        <f t="shared" si="10"/>
        <v>10.3970096748072</v>
      </c>
      <c r="P51" s="4">
        <f t="shared" si="10"/>
        <v>9.71526259887461</v>
      </c>
      <c r="Q51" s="4">
        <f t="shared" si="10"/>
        <v>8.38436288416466</v>
      </c>
      <c r="R51" s="4">
        <f t="shared" si="10"/>
        <v>6.58893690985529</v>
      </c>
      <c r="S51" s="4">
        <f t="shared" si="9"/>
        <v>6.01637202926671</v>
      </c>
      <c r="T51" s="4">
        <f t="shared" si="9"/>
        <v>4.77177715260161</v>
      </c>
      <c r="U51" s="4">
        <f t="shared" si="9"/>
        <v>3.51751313927924</v>
      </c>
      <c r="V51" s="4">
        <f t="shared" si="9"/>
        <v>3.27578223573562</v>
      </c>
      <c r="W51" s="4">
        <f t="shared" si="9"/>
        <v>2.54639953350036</v>
      </c>
      <c r="X51" s="4">
        <f t="shared" si="9"/>
        <v>2.17627901333351</v>
      </c>
      <c r="Y51" s="4">
        <f t="shared" si="9"/>
        <v>1.79129160568064</v>
      </c>
      <c r="Z51" s="4">
        <f t="shared" si="9"/>
        <v>1.73113315206389</v>
      </c>
      <c r="AA51" s="4">
        <f t="shared" si="9"/>
        <v>1.5444510942744</v>
      </c>
      <c r="AB51" s="4">
        <f t="shared" si="9"/>
        <v>1.27185563360844</v>
      </c>
      <c r="AC51" s="4">
        <f t="shared" si="9"/>
        <v>1.04859153897421</v>
      </c>
      <c r="AD51" s="4">
        <f t="shared" si="9"/>
        <v>1.01166545867322</v>
      </c>
      <c r="AE51" s="4">
        <f t="shared" si="9"/>
        <v>0.86107653011545</v>
      </c>
      <c r="AF51" s="4">
        <f t="shared" si="9"/>
        <v>0.773250161503846</v>
      </c>
      <c r="AG51" s="4">
        <f t="shared" si="9"/>
        <v>0.707386674790188</v>
      </c>
      <c r="AH51" s="4">
        <f t="shared" si="8"/>
        <v>0.460580867088874</v>
      </c>
      <c r="AI51" s="4">
        <f t="shared" si="8"/>
        <v>0.321309883350429</v>
      </c>
      <c r="AJ51" s="4">
        <f t="shared" si="8"/>
        <v>0.254907408174699</v>
      </c>
    </row>
    <row r="52" spans="1:36">
      <c r="A52" t="str">
        <f>"semis_procurement_archetype_"&amp;TEXT(ROUND(Table26916[[#This Row],[2016]],3),"0.0")</f>
        <v>semis_procurement_archetype_15.3</v>
      </c>
      <c r="B52" s="4">
        <f t="shared" si="2"/>
        <v>15.3</v>
      </c>
      <c r="C52" s="4">
        <f t="shared" si="10"/>
        <v>15.3</v>
      </c>
      <c r="D52" s="4">
        <f t="shared" si="10"/>
        <v>15.3</v>
      </c>
      <c r="E52" s="4">
        <f t="shared" si="10"/>
        <v>14.9353448511676</v>
      </c>
      <c r="F52" s="4">
        <f t="shared" si="10"/>
        <v>14.0537697617233</v>
      </c>
      <c r="G52" s="4">
        <f t="shared" si="10"/>
        <v>14.1770161141014</v>
      </c>
      <c r="H52" s="4">
        <f t="shared" si="10"/>
        <v>13.7943595829981</v>
      </c>
      <c r="I52" s="4">
        <f t="shared" si="10"/>
        <v>13.0541369544986</v>
      </c>
      <c r="J52" s="4">
        <f t="shared" si="10"/>
        <v>12.6383170293694</v>
      </c>
      <c r="K52" s="4">
        <f t="shared" si="10"/>
        <v>12.2114690853456</v>
      </c>
      <c r="L52" s="4">
        <f t="shared" si="10"/>
        <v>11.5372128020834</v>
      </c>
      <c r="M52" s="4">
        <f t="shared" si="10"/>
        <v>11.4553790492896</v>
      </c>
      <c r="N52" s="4">
        <f t="shared" si="10"/>
        <v>10.9029089576819</v>
      </c>
      <c r="O52" s="4">
        <f t="shared" si="10"/>
        <v>10.3300434135899</v>
      </c>
      <c r="P52" s="4">
        <f t="shared" si="10"/>
        <v>9.65279777646866</v>
      </c>
      <c r="Q52" s="4">
        <f t="shared" si="10"/>
        <v>8.330685724869</v>
      </c>
      <c r="R52" s="4">
        <f t="shared" si="10"/>
        <v>6.54711458712417</v>
      </c>
      <c r="S52" s="4">
        <f t="shared" si="9"/>
        <v>5.97833023727263</v>
      </c>
      <c r="T52" s="4">
        <f t="shared" si="9"/>
        <v>4.74195317023214</v>
      </c>
      <c r="U52" s="4">
        <f t="shared" si="9"/>
        <v>3.4959708098988</v>
      </c>
      <c r="V52" s="4">
        <f t="shared" si="9"/>
        <v>3.25583600688793</v>
      </c>
      <c r="W52" s="4">
        <f t="shared" si="9"/>
        <v>2.53126927192267</v>
      </c>
      <c r="X52" s="4">
        <f t="shared" si="9"/>
        <v>2.16359258310201</v>
      </c>
      <c r="Y52" s="4">
        <f t="shared" si="9"/>
        <v>1.78114716986296</v>
      </c>
      <c r="Z52" s="4">
        <f t="shared" si="9"/>
        <v>1.72138593041477</v>
      </c>
      <c r="AA52" s="4">
        <f t="shared" si="9"/>
        <v>1.5359364967024</v>
      </c>
      <c r="AB52" s="4">
        <f t="shared" si="9"/>
        <v>1.26514092903158</v>
      </c>
      <c r="AC52" s="4">
        <f t="shared" si="9"/>
        <v>1.0433510023054</v>
      </c>
      <c r="AD52" s="4">
        <f t="shared" si="9"/>
        <v>1.00666873748508</v>
      </c>
      <c r="AE52" s="4">
        <f t="shared" si="9"/>
        <v>0.857074117332131</v>
      </c>
      <c r="AF52" s="4">
        <f t="shared" si="9"/>
        <v>0.769827648566494</v>
      </c>
      <c r="AG52" s="4">
        <f t="shared" si="9"/>
        <v>0.70439904520739</v>
      </c>
      <c r="AH52" s="4">
        <f t="shared" si="8"/>
        <v>0.45922284661018</v>
      </c>
      <c r="AI52" s="4">
        <f t="shared" si="8"/>
        <v>0.320871441163476</v>
      </c>
      <c r="AJ52" s="4">
        <f t="shared" si="8"/>
        <v>0.254907408174699</v>
      </c>
    </row>
    <row r="53" spans="1:36">
      <c r="A53" t="str">
        <f>"semis_procurement_archetype_"&amp;TEXT(ROUND(Table26916[[#This Row],[2016]],3),"0.0")</f>
        <v>semis_procurement_archetype_15.2</v>
      </c>
      <c r="B53" s="4">
        <f t="shared" si="2"/>
        <v>15.2</v>
      </c>
      <c r="C53" s="4">
        <f t="shared" si="10"/>
        <v>15.2</v>
      </c>
      <c r="D53" s="4">
        <f t="shared" si="10"/>
        <v>15.2</v>
      </c>
      <c r="E53" s="4">
        <f t="shared" si="10"/>
        <v>14.8377685992875</v>
      </c>
      <c r="F53" s="4">
        <f t="shared" si="10"/>
        <v>13.9620530622791</v>
      </c>
      <c r="G53" s="4">
        <f t="shared" si="10"/>
        <v>14.0844802349038</v>
      </c>
      <c r="H53" s="4">
        <f t="shared" si="10"/>
        <v>13.7043671014484</v>
      </c>
      <c r="I53" s="4">
        <f t="shared" si="10"/>
        <v>12.9690645000208</v>
      </c>
      <c r="J53" s="4">
        <f t="shared" si="10"/>
        <v>12.5560083991924</v>
      </c>
      <c r="K53" s="4">
        <f t="shared" si="10"/>
        <v>12.1319975792435</v>
      </c>
      <c r="L53" s="4">
        <f t="shared" si="10"/>
        <v>11.4622228654975</v>
      </c>
      <c r="M53" s="4">
        <f t="shared" si="10"/>
        <v>11.3809330359284</v>
      </c>
      <c r="N53" s="4">
        <f t="shared" si="10"/>
        <v>10.8321350393127</v>
      </c>
      <c r="O53" s="4">
        <f t="shared" si="10"/>
        <v>10.2630771523727</v>
      </c>
      <c r="P53" s="4">
        <f t="shared" si="10"/>
        <v>9.59033295406272</v>
      </c>
      <c r="Q53" s="4">
        <f t="shared" si="10"/>
        <v>8.27700856557334</v>
      </c>
      <c r="R53" s="4">
        <f t="shared" si="10"/>
        <v>6.50529226439305</v>
      </c>
      <c r="S53" s="4">
        <f t="shared" si="9"/>
        <v>5.94028844527856</v>
      </c>
      <c r="T53" s="4">
        <f t="shared" si="9"/>
        <v>4.71212918786266</v>
      </c>
      <c r="U53" s="4">
        <f t="shared" si="9"/>
        <v>3.47442848051835</v>
      </c>
      <c r="V53" s="4">
        <f t="shared" si="9"/>
        <v>3.23588977804023</v>
      </c>
      <c r="W53" s="4">
        <f t="shared" si="9"/>
        <v>2.51613901034499</v>
      </c>
      <c r="X53" s="4">
        <f t="shared" si="9"/>
        <v>2.1509061528705</v>
      </c>
      <c r="Y53" s="4">
        <f t="shared" si="9"/>
        <v>1.77100273404528</v>
      </c>
      <c r="Z53" s="4">
        <f t="shared" si="9"/>
        <v>1.71163870876566</v>
      </c>
      <c r="AA53" s="4">
        <f t="shared" si="9"/>
        <v>1.52742189913041</v>
      </c>
      <c r="AB53" s="4">
        <f t="shared" si="9"/>
        <v>1.25842622445471</v>
      </c>
      <c r="AC53" s="4">
        <f t="shared" si="9"/>
        <v>1.03811046563659</v>
      </c>
      <c r="AD53" s="4">
        <f t="shared" si="9"/>
        <v>1.00167201629694</v>
      </c>
      <c r="AE53" s="4">
        <f t="shared" si="9"/>
        <v>0.853071704548812</v>
      </c>
      <c r="AF53" s="4">
        <f t="shared" si="9"/>
        <v>0.766405135629142</v>
      </c>
      <c r="AG53" s="4">
        <f t="shared" si="9"/>
        <v>0.701411415624592</v>
      </c>
      <c r="AH53" s="4">
        <f t="shared" si="8"/>
        <v>0.457864826131485</v>
      </c>
      <c r="AI53" s="4">
        <f t="shared" si="8"/>
        <v>0.320432998976522</v>
      </c>
      <c r="AJ53" s="4">
        <f t="shared" si="8"/>
        <v>0.254907408174699</v>
      </c>
    </row>
    <row r="54" spans="1:36">
      <c r="A54" t="str">
        <f>"semis_procurement_archetype_"&amp;TEXT(ROUND(Table26916[[#This Row],[2016]],3),"0.0")</f>
        <v>semis_procurement_archetype_15.1</v>
      </c>
      <c r="B54" s="4">
        <f t="shared" si="2"/>
        <v>15.1</v>
      </c>
      <c r="C54" s="4">
        <f t="shared" si="10"/>
        <v>15.1</v>
      </c>
      <c r="D54" s="4">
        <f t="shared" si="10"/>
        <v>15.1</v>
      </c>
      <c r="E54" s="4">
        <f t="shared" si="10"/>
        <v>14.7401923474074</v>
      </c>
      <c r="F54" s="4">
        <f t="shared" si="10"/>
        <v>13.8703363628349</v>
      </c>
      <c r="G54" s="4">
        <f t="shared" si="10"/>
        <v>13.9919443557063</v>
      </c>
      <c r="H54" s="4">
        <f t="shared" si="10"/>
        <v>13.6143746198988</v>
      </c>
      <c r="I54" s="4">
        <f t="shared" si="10"/>
        <v>12.883992045543</v>
      </c>
      <c r="J54" s="4">
        <f t="shared" si="10"/>
        <v>12.4736997690154</v>
      </c>
      <c r="K54" s="4">
        <f t="shared" si="10"/>
        <v>12.0525260731415</v>
      </c>
      <c r="L54" s="4">
        <f t="shared" si="10"/>
        <v>11.3872329289115</v>
      </c>
      <c r="M54" s="4">
        <f t="shared" si="10"/>
        <v>11.3064870225672</v>
      </c>
      <c r="N54" s="4">
        <f t="shared" si="10"/>
        <v>10.7613611209435</v>
      </c>
      <c r="O54" s="4">
        <f t="shared" si="10"/>
        <v>10.1961108911555</v>
      </c>
      <c r="P54" s="4">
        <f t="shared" si="10"/>
        <v>9.52786813165677</v>
      </c>
      <c r="Q54" s="4">
        <f t="shared" si="10"/>
        <v>8.22333140627767</v>
      </c>
      <c r="R54" s="4">
        <f t="shared" si="10"/>
        <v>6.46346994166192</v>
      </c>
      <c r="S54" s="4">
        <f t="shared" si="9"/>
        <v>5.90224665328449</v>
      </c>
      <c r="T54" s="4">
        <f t="shared" si="9"/>
        <v>4.68230520549318</v>
      </c>
      <c r="U54" s="4">
        <f t="shared" si="9"/>
        <v>3.4528861511379</v>
      </c>
      <c r="V54" s="4">
        <f t="shared" si="9"/>
        <v>3.21594354919254</v>
      </c>
      <c r="W54" s="4">
        <f t="shared" si="9"/>
        <v>2.50100874876731</v>
      </c>
      <c r="X54" s="4">
        <f t="shared" si="9"/>
        <v>2.138219722639</v>
      </c>
      <c r="Y54" s="4">
        <f t="shared" si="9"/>
        <v>1.7608582982276</v>
      </c>
      <c r="Z54" s="4">
        <f t="shared" si="9"/>
        <v>1.70189148711654</v>
      </c>
      <c r="AA54" s="4">
        <f t="shared" si="9"/>
        <v>1.51890730155842</v>
      </c>
      <c r="AB54" s="4">
        <f t="shared" si="9"/>
        <v>1.25171151987785</v>
      </c>
      <c r="AC54" s="4">
        <f t="shared" si="9"/>
        <v>1.03286992896778</v>
      </c>
      <c r="AD54" s="4">
        <f t="shared" si="9"/>
        <v>0.996675295108808</v>
      </c>
      <c r="AE54" s="4">
        <f t="shared" si="9"/>
        <v>0.849069291765492</v>
      </c>
      <c r="AF54" s="4">
        <f t="shared" si="9"/>
        <v>0.76298262269179</v>
      </c>
      <c r="AG54" s="4">
        <f t="shared" si="9"/>
        <v>0.698423786041795</v>
      </c>
      <c r="AH54" s="4">
        <f t="shared" si="8"/>
        <v>0.456506805652791</v>
      </c>
      <c r="AI54" s="4">
        <f t="shared" si="8"/>
        <v>0.319994556789569</v>
      </c>
      <c r="AJ54" s="4">
        <f t="shared" si="8"/>
        <v>0.254907408174699</v>
      </c>
    </row>
    <row r="55" spans="1:36">
      <c r="A55" t="str">
        <f>"semis_procurement_archetype_"&amp;TEXT(ROUND(Table26916[[#This Row],[2016]],3),"0.0")</f>
        <v>semis_procurement_archetype_15.0</v>
      </c>
      <c r="B55" s="4">
        <f t="shared" si="2"/>
        <v>15</v>
      </c>
      <c r="C55" s="4">
        <f t="shared" si="10"/>
        <v>15</v>
      </c>
      <c r="D55" s="4">
        <f t="shared" si="10"/>
        <v>15</v>
      </c>
      <c r="E55" s="4">
        <f t="shared" si="10"/>
        <v>14.6426160955273</v>
      </c>
      <c r="F55" s="4">
        <f t="shared" si="10"/>
        <v>13.7786196633906</v>
      </c>
      <c r="G55" s="4">
        <f t="shared" si="10"/>
        <v>13.8994084765088</v>
      </c>
      <c r="H55" s="4">
        <f t="shared" si="10"/>
        <v>13.5243821383492</v>
      </c>
      <c r="I55" s="4">
        <f t="shared" si="10"/>
        <v>12.7989195910652</v>
      </c>
      <c r="J55" s="4">
        <f t="shared" si="10"/>
        <v>12.3913911388384</v>
      </c>
      <c r="K55" s="4">
        <f t="shared" si="10"/>
        <v>11.9730545670394</v>
      </c>
      <c r="L55" s="4">
        <f t="shared" si="10"/>
        <v>11.3122429923256</v>
      </c>
      <c r="M55" s="4">
        <f t="shared" si="10"/>
        <v>11.232041009206</v>
      </c>
      <c r="N55" s="4">
        <f t="shared" si="10"/>
        <v>10.6905872025743</v>
      </c>
      <c r="O55" s="4">
        <f t="shared" si="10"/>
        <v>10.1291446299383</v>
      </c>
      <c r="P55" s="4">
        <f t="shared" si="10"/>
        <v>9.46540330925082</v>
      </c>
      <c r="Q55" s="4">
        <f t="shared" si="10"/>
        <v>8.16965424698201</v>
      </c>
      <c r="R55" s="4">
        <f t="shared" si="10"/>
        <v>6.4216476189308</v>
      </c>
      <c r="S55" s="4">
        <f t="shared" si="9"/>
        <v>5.86420486129041</v>
      </c>
      <c r="T55" s="4">
        <f t="shared" si="9"/>
        <v>4.65248122312371</v>
      </c>
      <c r="U55" s="4">
        <f t="shared" si="9"/>
        <v>3.43134382175746</v>
      </c>
      <c r="V55" s="4">
        <f t="shared" si="9"/>
        <v>3.19599732034484</v>
      </c>
      <c r="W55" s="4">
        <f t="shared" si="9"/>
        <v>2.48587848718962</v>
      </c>
      <c r="X55" s="4">
        <f t="shared" si="9"/>
        <v>2.12553329240749</v>
      </c>
      <c r="Y55" s="4">
        <f t="shared" si="9"/>
        <v>1.75071386240992</v>
      </c>
      <c r="Z55" s="4">
        <f t="shared" si="9"/>
        <v>1.69214426546742</v>
      </c>
      <c r="AA55" s="4">
        <f t="shared" si="9"/>
        <v>1.51039270398642</v>
      </c>
      <c r="AB55" s="4">
        <f t="shared" si="9"/>
        <v>1.24499681530098</v>
      </c>
      <c r="AC55" s="4">
        <f t="shared" si="9"/>
        <v>1.02762939229898</v>
      </c>
      <c r="AD55" s="4">
        <f t="shared" si="9"/>
        <v>0.991678573920672</v>
      </c>
      <c r="AE55" s="4">
        <f t="shared" si="9"/>
        <v>0.845066878982173</v>
      </c>
      <c r="AF55" s="4">
        <f t="shared" si="9"/>
        <v>0.759560109754438</v>
      </c>
      <c r="AG55" s="4">
        <f t="shared" si="9"/>
        <v>0.695436156458997</v>
      </c>
      <c r="AH55" s="4">
        <f t="shared" si="8"/>
        <v>0.455148785174097</v>
      </c>
      <c r="AI55" s="4">
        <f t="shared" si="8"/>
        <v>0.319556114602615</v>
      </c>
      <c r="AJ55" s="4">
        <f t="shared" si="8"/>
        <v>0.254907408174699</v>
      </c>
    </row>
    <row r="56" spans="1:36">
      <c r="A56" t="str">
        <f>"semis_procurement_archetype_"&amp;TEXT(ROUND(Table26916[[#This Row],[2016]],3),"0.0")</f>
        <v>semis_procurement_archetype_14.9</v>
      </c>
      <c r="B56" s="4">
        <f t="shared" si="2"/>
        <v>14.9</v>
      </c>
      <c r="C56" s="4">
        <f t="shared" si="10"/>
        <v>14.9</v>
      </c>
      <c r="D56" s="4">
        <f t="shared" si="10"/>
        <v>14.9</v>
      </c>
      <c r="E56" s="4">
        <f t="shared" si="10"/>
        <v>14.5450398436473</v>
      </c>
      <c r="F56" s="4">
        <f t="shared" si="10"/>
        <v>13.6869029639464</v>
      </c>
      <c r="G56" s="4">
        <f t="shared" si="10"/>
        <v>13.8068725973113</v>
      </c>
      <c r="H56" s="4">
        <f t="shared" si="10"/>
        <v>13.4343896567995</v>
      </c>
      <c r="I56" s="4">
        <f t="shared" si="10"/>
        <v>12.7138471365874</v>
      </c>
      <c r="J56" s="4">
        <f t="shared" si="10"/>
        <v>12.3090825086614</v>
      </c>
      <c r="K56" s="4">
        <f t="shared" si="10"/>
        <v>11.8935830609374</v>
      </c>
      <c r="L56" s="4">
        <f t="shared" si="10"/>
        <v>11.2372530557396</v>
      </c>
      <c r="M56" s="4">
        <f t="shared" si="10"/>
        <v>11.1575949958448</v>
      </c>
      <c r="N56" s="4">
        <f t="shared" si="10"/>
        <v>10.6198132842051</v>
      </c>
      <c r="O56" s="4">
        <f t="shared" si="10"/>
        <v>10.062178368721</v>
      </c>
      <c r="P56" s="4">
        <f t="shared" si="10"/>
        <v>9.40293848684487</v>
      </c>
      <c r="Q56" s="4">
        <f t="shared" si="10"/>
        <v>8.11597708768634</v>
      </c>
      <c r="R56" s="4">
        <f t="shared" si="10"/>
        <v>6.37982529619968</v>
      </c>
      <c r="S56" s="4">
        <f t="shared" si="9"/>
        <v>5.82616306929634</v>
      </c>
      <c r="T56" s="4">
        <f t="shared" si="9"/>
        <v>4.62265724075423</v>
      </c>
      <c r="U56" s="4">
        <f t="shared" si="9"/>
        <v>3.40980149237701</v>
      </c>
      <c r="V56" s="4">
        <f t="shared" si="9"/>
        <v>3.17605109149714</v>
      </c>
      <c r="W56" s="4">
        <f t="shared" si="9"/>
        <v>2.47074822561194</v>
      </c>
      <c r="X56" s="4">
        <f t="shared" si="9"/>
        <v>2.11284686217599</v>
      </c>
      <c r="Y56" s="4">
        <f t="shared" si="9"/>
        <v>1.74056942659224</v>
      </c>
      <c r="Z56" s="4">
        <f t="shared" si="9"/>
        <v>1.6823970438183</v>
      </c>
      <c r="AA56" s="4">
        <f t="shared" si="9"/>
        <v>1.50187810641443</v>
      </c>
      <c r="AB56" s="4">
        <f t="shared" si="9"/>
        <v>1.23828211072412</v>
      </c>
      <c r="AC56" s="4">
        <f t="shared" si="9"/>
        <v>1.02238885563017</v>
      </c>
      <c r="AD56" s="4">
        <f t="shared" si="9"/>
        <v>0.986681852732536</v>
      </c>
      <c r="AE56" s="4">
        <f t="shared" si="9"/>
        <v>0.841064466198854</v>
      </c>
      <c r="AF56" s="4">
        <f t="shared" si="9"/>
        <v>0.756137596817086</v>
      </c>
      <c r="AG56" s="4">
        <f t="shared" si="9"/>
        <v>0.692448526876199</v>
      </c>
      <c r="AH56" s="4">
        <f t="shared" si="8"/>
        <v>0.453790764695403</v>
      </c>
      <c r="AI56" s="4">
        <f t="shared" si="8"/>
        <v>0.319117672415662</v>
      </c>
      <c r="AJ56" s="4">
        <f t="shared" si="8"/>
        <v>0.254907408174699</v>
      </c>
    </row>
    <row r="57" spans="1:36">
      <c r="A57" t="str">
        <f>"semis_procurement_archetype_"&amp;TEXT(ROUND(Table26916[[#This Row],[2016]],3),"0.0")</f>
        <v>semis_procurement_archetype_14.8</v>
      </c>
      <c r="B57" s="4">
        <f t="shared" si="2"/>
        <v>14.8</v>
      </c>
      <c r="C57" s="4">
        <f t="shared" si="10"/>
        <v>14.8</v>
      </c>
      <c r="D57" s="4">
        <f t="shared" si="10"/>
        <v>14.8</v>
      </c>
      <c r="E57" s="4">
        <f t="shared" si="10"/>
        <v>14.4474635917672</v>
      </c>
      <c r="F57" s="4">
        <f t="shared" si="10"/>
        <v>13.5951862645022</v>
      </c>
      <c r="G57" s="4">
        <f t="shared" si="10"/>
        <v>13.7143367181138</v>
      </c>
      <c r="H57" s="4">
        <f t="shared" si="10"/>
        <v>13.3443971752499</v>
      </c>
      <c r="I57" s="4">
        <f t="shared" si="10"/>
        <v>12.6287746821096</v>
      </c>
      <c r="J57" s="4">
        <f t="shared" si="10"/>
        <v>12.2267738784844</v>
      </c>
      <c r="K57" s="4">
        <f t="shared" si="10"/>
        <v>11.8141115548354</v>
      </c>
      <c r="L57" s="4">
        <f t="shared" si="10"/>
        <v>11.1622631191536</v>
      </c>
      <c r="M57" s="4">
        <f t="shared" si="10"/>
        <v>11.0831489824836</v>
      </c>
      <c r="N57" s="4">
        <f t="shared" si="10"/>
        <v>10.549039365836</v>
      </c>
      <c r="O57" s="4">
        <f t="shared" si="10"/>
        <v>9.99521210750381</v>
      </c>
      <c r="P57" s="4">
        <f t="shared" si="10"/>
        <v>9.34047366443893</v>
      </c>
      <c r="Q57" s="4">
        <f t="shared" si="10"/>
        <v>8.06229992839068</v>
      </c>
      <c r="R57" s="4">
        <f t="shared" si="10"/>
        <v>6.33800297346855</v>
      </c>
      <c r="S57" s="4">
        <f t="shared" si="9"/>
        <v>5.78812127730227</v>
      </c>
      <c r="T57" s="4">
        <f t="shared" si="9"/>
        <v>4.59283325838475</v>
      </c>
      <c r="U57" s="4">
        <f t="shared" si="9"/>
        <v>3.38825916299657</v>
      </c>
      <c r="V57" s="4">
        <f t="shared" si="9"/>
        <v>3.15610486264945</v>
      </c>
      <c r="W57" s="4">
        <f t="shared" si="9"/>
        <v>2.45561796403425</v>
      </c>
      <c r="X57" s="4">
        <f t="shared" si="9"/>
        <v>2.10016043194448</v>
      </c>
      <c r="Y57" s="4">
        <f t="shared" si="9"/>
        <v>1.73042499077456</v>
      </c>
      <c r="Z57" s="4">
        <f t="shared" si="9"/>
        <v>1.67264982216919</v>
      </c>
      <c r="AA57" s="4">
        <f t="shared" si="9"/>
        <v>1.49336350884244</v>
      </c>
      <c r="AB57" s="4">
        <f t="shared" si="9"/>
        <v>1.23156740614725</v>
      </c>
      <c r="AC57" s="4">
        <f t="shared" si="9"/>
        <v>1.01714831896136</v>
      </c>
      <c r="AD57" s="4">
        <f t="shared" si="9"/>
        <v>0.9816851315444</v>
      </c>
      <c r="AE57" s="4">
        <f t="shared" si="9"/>
        <v>0.837062053415535</v>
      </c>
      <c r="AF57" s="4">
        <f t="shared" si="9"/>
        <v>0.752715083879734</v>
      </c>
      <c r="AG57" s="4">
        <f t="shared" si="9"/>
        <v>0.689460897293401</v>
      </c>
      <c r="AH57" s="4">
        <f t="shared" si="8"/>
        <v>0.452432744216709</v>
      </c>
      <c r="AI57" s="4">
        <f t="shared" si="8"/>
        <v>0.318679230228708</v>
      </c>
      <c r="AJ57" s="4">
        <f t="shared" si="8"/>
        <v>0.254907408174699</v>
      </c>
    </row>
    <row r="58" spans="1:36">
      <c r="A58" t="str">
        <f>"semis_procurement_archetype_"&amp;TEXT(ROUND(Table26916[[#This Row],[2016]],3),"0.0")</f>
        <v>semis_procurement_archetype_14.7</v>
      </c>
      <c r="B58" s="4">
        <f t="shared" si="2"/>
        <v>14.7</v>
      </c>
      <c r="C58" s="4">
        <f t="shared" si="10"/>
        <v>14.7</v>
      </c>
      <c r="D58" s="4">
        <f t="shared" si="10"/>
        <v>14.7</v>
      </c>
      <c r="E58" s="4">
        <f t="shared" si="10"/>
        <v>14.3498873398871</v>
      </c>
      <c r="F58" s="4">
        <f t="shared" si="10"/>
        <v>13.503469565058</v>
      </c>
      <c r="G58" s="4">
        <f t="shared" si="10"/>
        <v>13.6218008389162</v>
      </c>
      <c r="H58" s="4">
        <f t="shared" si="10"/>
        <v>13.2544046937003</v>
      </c>
      <c r="I58" s="4">
        <f t="shared" si="10"/>
        <v>12.5437022276318</v>
      </c>
      <c r="J58" s="4">
        <f t="shared" si="10"/>
        <v>12.1444652483073</v>
      </c>
      <c r="K58" s="4">
        <f t="shared" si="10"/>
        <v>11.7346400487333</v>
      </c>
      <c r="L58" s="4">
        <f t="shared" si="10"/>
        <v>11.0872731825677</v>
      </c>
      <c r="M58" s="4">
        <f t="shared" si="10"/>
        <v>11.0087029691224</v>
      </c>
      <c r="N58" s="4">
        <f t="shared" si="10"/>
        <v>10.4782654474668</v>
      </c>
      <c r="O58" s="4">
        <f t="shared" si="10"/>
        <v>9.92824584628658</v>
      </c>
      <c r="P58" s="4">
        <f t="shared" si="10"/>
        <v>9.27800884203298</v>
      </c>
      <c r="Q58" s="4">
        <f t="shared" si="10"/>
        <v>8.00862276909501</v>
      </c>
      <c r="R58" s="4">
        <f t="shared" si="10"/>
        <v>6.29618065073743</v>
      </c>
      <c r="S58" s="4">
        <f t="shared" si="9"/>
        <v>5.75007948530819</v>
      </c>
      <c r="T58" s="4">
        <f t="shared" si="9"/>
        <v>4.56300927601528</v>
      </c>
      <c r="U58" s="4">
        <f t="shared" si="9"/>
        <v>3.36671683361612</v>
      </c>
      <c r="V58" s="4">
        <f t="shared" si="9"/>
        <v>3.13615863380175</v>
      </c>
      <c r="W58" s="4">
        <f t="shared" si="9"/>
        <v>2.44048770245657</v>
      </c>
      <c r="X58" s="4">
        <f t="shared" si="9"/>
        <v>2.08747400171298</v>
      </c>
      <c r="Y58" s="4">
        <f t="shared" si="9"/>
        <v>1.72028055495688</v>
      </c>
      <c r="Z58" s="4">
        <f t="shared" si="9"/>
        <v>1.66290260052007</v>
      </c>
      <c r="AA58" s="4">
        <f t="shared" si="9"/>
        <v>1.48484891127044</v>
      </c>
      <c r="AB58" s="4">
        <f t="shared" si="9"/>
        <v>1.22485270157039</v>
      </c>
      <c r="AC58" s="4">
        <f t="shared" si="9"/>
        <v>1.01190778229255</v>
      </c>
      <c r="AD58" s="4">
        <f t="shared" si="9"/>
        <v>0.976688410356265</v>
      </c>
      <c r="AE58" s="4">
        <f t="shared" si="9"/>
        <v>0.833059640632215</v>
      </c>
      <c r="AF58" s="4">
        <f t="shared" si="9"/>
        <v>0.749292570942382</v>
      </c>
      <c r="AG58" s="4">
        <f t="shared" si="9"/>
        <v>0.686473267710603</v>
      </c>
      <c r="AH58" s="4">
        <f t="shared" si="8"/>
        <v>0.451074723738015</v>
      </c>
      <c r="AI58" s="4">
        <f t="shared" si="8"/>
        <v>0.318240788041755</v>
      </c>
      <c r="AJ58" s="4">
        <f t="shared" si="8"/>
        <v>0.254907408174699</v>
      </c>
    </row>
    <row r="59" spans="1:36">
      <c r="A59" t="str">
        <f>"semis_procurement_archetype_"&amp;TEXT(ROUND(Table26916[[#This Row],[2016]],3),"0.0")</f>
        <v>semis_procurement_archetype_14.6</v>
      </c>
      <c r="B59" s="4">
        <f t="shared" si="2"/>
        <v>14.6</v>
      </c>
      <c r="C59" s="4">
        <f t="shared" si="10"/>
        <v>14.6</v>
      </c>
      <c r="D59" s="4">
        <f t="shared" si="10"/>
        <v>14.6</v>
      </c>
      <c r="E59" s="4">
        <f t="shared" si="10"/>
        <v>14.252311088007</v>
      </c>
      <c r="F59" s="4">
        <f t="shared" si="10"/>
        <v>13.4117528656138</v>
      </c>
      <c r="G59" s="4">
        <f t="shared" si="10"/>
        <v>13.5292649597187</v>
      </c>
      <c r="H59" s="4">
        <f t="shared" si="10"/>
        <v>13.1644122121506</v>
      </c>
      <c r="I59" s="4">
        <f t="shared" si="10"/>
        <v>12.458629773154</v>
      </c>
      <c r="J59" s="4">
        <f t="shared" si="10"/>
        <v>12.0621566181303</v>
      </c>
      <c r="K59" s="4">
        <f t="shared" si="10"/>
        <v>11.6551685426313</v>
      </c>
      <c r="L59" s="4">
        <f t="shared" si="10"/>
        <v>11.0122832459817</v>
      </c>
      <c r="M59" s="4">
        <f t="shared" si="10"/>
        <v>10.9342569557612</v>
      </c>
      <c r="N59" s="4">
        <f t="shared" si="10"/>
        <v>10.4074915290976</v>
      </c>
      <c r="O59" s="4">
        <f t="shared" si="10"/>
        <v>9.86127958506935</v>
      </c>
      <c r="P59" s="4">
        <f t="shared" si="10"/>
        <v>9.21554401962703</v>
      </c>
      <c r="Q59" s="4">
        <f t="shared" si="10"/>
        <v>7.95494560979935</v>
      </c>
      <c r="R59" s="4">
        <f t="shared" si="10"/>
        <v>6.25435832800631</v>
      </c>
      <c r="S59" s="4">
        <f t="shared" si="9"/>
        <v>5.71203769331412</v>
      </c>
      <c r="T59" s="4">
        <f t="shared" si="9"/>
        <v>4.5331852936458</v>
      </c>
      <c r="U59" s="4">
        <f t="shared" si="9"/>
        <v>3.34517450423567</v>
      </c>
      <c r="V59" s="4">
        <f t="shared" si="9"/>
        <v>3.11621240495406</v>
      </c>
      <c r="W59" s="4">
        <f t="shared" si="9"/>
        <v>2.42535744087888</v>
      </c>
      <c r="X59" s="4">
        <f t="shared" si="9"/>
        <v>2.07478757148147</v>
      </c>
      <c r="Y59" s="4">
        <f t="shared" si="9"/>
        <v>1.7101361191392</v>
      </c>
      <c r="Z59" s="4">
        <f t="shared" si="9"/>
        <v>1.65315537887095</v>
      </c>
      <c r="AA59" s="4">
        <f t="shared" si="9"/>
        <v>1.47633431369845</v>
      </c>
      <c r="AB59" s="4">
        <f t="shared" si="9"/>
        <v>1.21813799699352</v>
      </c>
      <c r="AC59" s="4">
        <f t="shared" si="9"/>
        <v>1.00666724562375</v>
      </c>
      <c r="AD59" s="4">
        <f t="shared" si="9"/>
        <v>0.971691689168129</v>
      </c>
      <c r="AE59" s="4">
        <f t="shared" si="9"/>
        <v>0.829057227848896</v>
      </c>
      <c r="AF59" s="4">
        <f t="shared" si="9"/>
        <v>0.74587005800503</v>
      </c>
      <c r="AG59" s="4">
        <f t="shared" si="9"/>
        <v>0.683485638127806</v>
      </c>
      <c r="AH59" s="4">
        <f t="shared" si="8"/>
        <v>0.449716703259321</v>
      </c>
      <c r="AI59" s="4">
        <f t="shared" si="8"/>
        <v>0.317802345854801</v>
      </c>
      <c r="AJ59" s="4">
        <f t="shared" si="8"/>
        <v>0.254907408174699</v>
      </c>
    </row>
    <row r="60" spans="1:36">
      <c r="A60" t="str">
        <f>"semis_procurement_archetype_"&amp;TEXT(ROUND(Table26916[[#This Row],[2016]],3),"0.0")</f>
        <v>semis_procurement_archetype_14.5</v>
      </c>
      <c r="B60" s="4">
        <f t="shared" si="2"/>
        <v>14.5</v>
      </c>
      <c r="C60" s="4">
        <f t="shared" si="10"/>
        <v>14.5</v>
      </c>
      <c r="D60" s="4">
        <f t="shared" si="10"/>
        <v>14.5</v>
      </c>
      <c r="E60" s="4">
        <f t="shared" si="10"/>
        <v>14.1547348361269</v>
      </c>
      <c r="F60" s="4">
        <f t="shared" si="10"/>
        <v>13.3200361661696</v>
      </c>
      <c r="G60" s="4">
        <f t="shared" si="10"/>
        <v>13.4367290805212</v>
      </c>
      <c r="H60" s="4">
        <f t="shared" si="10"/>
        <v>13.074419730601</v>
      </c>
      <c r="I60" s="4">
        <f t="shared" si="10"/>
        <v>12.3735573186762</v>
      </c>
      <c r="J60" s="4">
        <f t="shared" si="10"/>
        <v>11.9798479879533</v>
      </c>
      <c r="K60" s="4">
        <f t="shared" si="10"/>
        <v>11.5756970365292</v>
      </c>
      <c r="L60" s="4">
        <f t="shared" si="10"/>
        <v>10.9372933093958</v>
      </c>
      <c r="M60" s="4">
        <f t="shared" si="10"/>
        <v>10.8598109424</v>
      </c>
      <c r="N60" s="4">
        <f t="shared" si="10"/>
        <v>10.3367176107284</v>
      </c>
      <c r="O60" s="4">
        <f t="shared" si="10"/>
        <v>9.79431332385213</v>
      </c>
      <c r="P60" s="4">
        <f t="shared" si="10"/>
        <v>9.15307919722109</v>
      </c>
      <c r="Q60" s="4">
        <f t="shared" si="10"/>
        <v>7.90126845050368</v>
      </c>
      <c r="R60" s="4">
        <f t="shared" ref="R60:AG75" si="11">(($B60-$AJ$2)*((R$2-$AJ$2)/($B$2-$AJ$2)))+$AJ$2</f>
        <v>6.21253600527518</v>
      </c>
      <c r="S60" s="4">
        <f t="shared" si="11"/>
        <v>5.67399590132005</v>
      </c>
      <c r="T60" s="4">
        <f t="shared" si="11"/>
        <v>4.50336131127632</v>
      </c>
      <c r="U60" s="4">
        <f t="shared" si="11"/>
        <v>3.32363217485523</v>
      </c>
      <c r="V60" s="4">
        <f t="shared" si="11"/>
        <v>3.09626617610636</v>
      </c>
      <c r="W60" s="4">
        <f t="shared" si="11"/>
        <v>2.4102271793012</v>
      </c>
      <c r="X60" s="4">
        <f t="shared" si="11"/>
        <v>2.06210114124997</v>
      </c>
      <c r="Y60" s="4">
        <f t="shared" si="11"/>
        <v>1.69999168332152</v>
      </c>
      <c r="Z60" s="4">
        <f t="shared" si="11"/>
        <v>1.64340815722184</v>
      </c>
      <c r="AA60" s="4">
        <f t="shared" si="11"/>
        <v>1.46781971612646</v>
      </c>
      <c r="AB60" s="4">
        <f t="shared" si="11"/>
        <v>1.21142329241666</v>
      </c>
      <c r="AC60" s="4">
        <f t="shared" si="11"/>
        <v>1.00142670895494</v>
      </c>
      <c r="AD60" s="4">
        <f t="shared" si="11"/>
        <v>0.966694967979993</v>
      </c>
      <c r="AE60" s="4">
        <f t="shared" si="11"/>
        <v>0.825054815065577</v>
      </c>
      <c r="AF60" s="4">
        <f t="shared" si="11"/>
        <v>0.742447545067679</v>
      </c>
      <c r="AG60" s="4">
        <f t="shared" si="11"/>
        <v>0.680498008545008</v>
      </c>
      <c r="AH60" s="4">
        <f t="shared" si="8"/>
        <v>0.448358682780627</v>
      </c>
      <c r="AI60" s="4">
        <f t="shared" si="8"/>
        <v>0.317363903667848</v>
      </c>
      <c r="AJ60" s="4">
        <f t="shared" si="8"/>
        <v>0.254907408174699</v>
      </c>
    </row>
    <row r="61" spans="1:36">
      <c r="A61" t="str">
        <f>"semis_procurement_archetype_"&amp;TEXT(ROUND(Table26916[[#This Row],[2016]],3),"0.0")</f>
        <v>semis_procurement_archetype_14.4</v>
      </c>
      <c r="B61" s="4">
        <f t="shared" si="2"/>
        <v>14.4</v>
      </c>
      <c r="C61" s="4">
        <f t="shared" ref="C61:R76" si="12">(($B61-$AJ$2)*((C$2-$AJ$2)/($B$2-$AJ$2)))+$AJ$2</f>
        <v>14.4</v>
      </c>
      <c r="D61" s="4">
        <f t="shared" si="12"/>
        <v>14.4</v>
      </c>
      <c r="E61" s="4">
        <f t="shared" si="12"/>
        <v>14.0571585842468</v>
      </c>
      <c r="F61" s="4">
        <f t="shared" si="12"/>
        <v>13.2283194667253</v>
      </c>
      <c r="G61" s="4">
        <f t="shared" si="12"/>
        <v>13.3441932013237</v>
      </c>
      <c r="H61" s="4">
        <f t="shared" si="12"/>
        <v>12.9844272490514</v>
      </c>
      <c r="I61" s="4">
        <f t="shared" si="12"/>
        <v>12.2884848641984</v>
      </c>
      <c r="J61" s="4">
        <f t="shared" si="12"/>
        <v>11.8975393577763</v>
      </c>
      <c r="K61" s="4">
        <f t="shared" si="12"/>
        <v>11.4962255304272</v>
      </c>
      <c r="L61" s="4">
        <f t="shared" si="12"/>
        <v>10.8623033728098</v>
      </c>
      <c r="M61" s="4">
        <f t="shared" si="12"/>
        <v>10.7853649290388</v>
      </c>
      <c r="N61" s="4">
        <f t="shared" si="12"/>
        <v>10.2659436923592</v>
      </c>
      <c r="O61" s="4">
        <f t="shared" si="12"/>
        <v>9.7273470626349</v>
      </c>
      <c r="P61" s="4">
        <f t="shared" si="12"/>
        <v>9.09061437481514</v>
      </c>
      <c r="Q61" s="4">
        <f t="shared" si="12"/>
        <v>7.84759129120802</v>
      </c>
      <c r="R61" s="4">
        <f t="shared" si="12"/>
        <v>6.17071368254406</v>
      </c>
      <c r="S61" s="4">
        <f t="shared" si="11"/>
        <v>5.63595410932597</v>
      </c>
      <c r="T61" s="4">
        <f t="shared" si="11"/>
        <v>4.47353732890685</v>
      </c>
      <c r="U61" s="4">
        <f t="shared" si="11"/>
        <v>3.30208984547478</v>
      </c>
      <c r="V61" s="4">
        <f t="shared" si="11"/>
        <v>3.07631994725866</v>
      </c>
      <c r="W61" s="4">
        <f t="shared" si="11"/>
        <v>2.39509691772352</v>
      </c>
      <c r="X61" s="4">
        <f t="shared" si="11"/>
        <v>2.04941471101846</v>
      </c>
      <c r="Y61" s="4">
        <f t="shared" si="11"/>
        <v>1.68984724750384</v>
      </c>
      <c r="Z61" s="4">
        <f t="shared" si="11"/>
        <v>1.63366093557272</v>
      </c>
      <c r="AA61" s="4">
        <f t="shared" si="11"/>
        <v>1.45930511855446</v>
      </c>
      <c r="AB61" s="4">
        <f t="shared" si="11"/>
        <v>1.20470858783979</v>
      </c>
      <c r="AC61" s="4">
        <f t="shared" si="11"/>
        <v>0.99618617228613</v>
      </c>
      <c r="AD61" s="4">
        <f t="shared" si="11"/>
        <v>0.961698246791857</v>
      </c>
      <c r="AE61" s="4">
        <f t="shared" si="11"/>
        <v>0.821052402282258</v>
      </c>
      <c r="AF61" s="4">
        <f t="shared" si="11"/>
        <v>0.739025032130327</v>
      </c>
      <c r="AG61" s="4">
        <f t="shared" si="11"/>
        <v>0.67751037896221</v>
      </c>
      <c r="AH61" s="4">
        <f t="shared" si="8"/>
        <v>0.447000662301932</v>
      </c>
      <c r="AI61" s="4">
        <f t="shared" si="8"/>
        <v>0.316925461480895</v>
      </c>
      <c r="AJ61" s="4">
        <f t="shared" si="8"/>
        <v>0.254907408174699</v>
      </c>
    </row>
    <row r="62" spans="1:36">
      <c r="A62" t="str">
        <f>"semis_procurement_archetype_"&amp;TEXT(ROUND(Table26916[[#This Row],[2016]],3),"0.0")</f>
        <v>semis_procurement_archetype_14.3</v>
      </c>
      <c r="B62" s="4">
        <f t="shared" si="2"/>
        <v>14.3</v>
      </c>
      <c r="C62" s="4">
        <f t="shared" si="12"/>
        <v>14.3</v>
      </c>
      <c r="D62" s="4">
        <f t="shared" si="12"/>
        <v>14.3</v>
      </c>
      <c r="E62" s="4">
        <f t="shared" si="12"/>
        <v>13.9595823323667</v>
      </c>
      <c r="F62" s="4">
        <f t="shared" si="12"/>
        <v>13.1366027672811</v>
      </c>
      <c r="G62" s="4">
        <f t="shared" si="12"/>
        <v>13.2516573221261</v>
      </c>
      <c r="H62" s="4">
        <f t="shared" si="12"/>
        <v>12.8944347675017</v>
      </c>
      <c r="I62" s="4">
        <f t="shared" si="12"/>
        <v>12.2034124097206</v>
      </c>
      <c r="J62" s="4">
        <f t="shared" si="12"/>
        <v>11.8152307275993</v>
      </c>
      <c r="K62" s="4">
        <f t="shared" si="12"/>
        <v>11.4167540243251</v>
      </c>
      <c r="L62" s="4">
        <f t="shared" si="12"/>
        <v>10.7873134362238</v>
      </c>
      <c r="M62" s="4">
        <f t="shared" si="12"/>
        <v>10.7109189156776</v>
      </c>
      <c r="N62" s="4">
        <f t="shared" si="12"/>
        <v>10.19516977399</v>
      </c>
      <c r="O62" s="4">
        <f t="shared" si="12"/>
        <v>9.66038080141768</v>
      </c>
      <c r="P62" s="4">
        <f t="shared" si="12"/>
        <v>9.02814955240919</v>
      </c>
      <c r="Q62" s="4">
        <f t="shared" si="12"/>
        <v>7.79391413191235</v>
      </c>
      <c r="R62" s="4">
        <f t="shared" si="12"/>
        <v>6.12889135981294</v>
      </c>
      <c r="S62" s="4">
        <f t="shared" si="11"/>
        <v>5.5979123173319</v>
      </c>
      <c r="T62" s="4">
        <f t="shared" si="11"/>
        <v>4.44371334653737</v>
      </c>
      <c r="U62" s="4">
        <f t="shared" si="11"/>
        <v>3.28054751609433</v>
      </c>
      <c r="V62" s="4">
        <f t="shared" si="11"/>
        <v>3.05637371841097</v>
      </c>
      <c r="W62" s="4">
        <f t="shared" si="11"/>
        <v>2.37996665614583</v>
      </c>
      <c r="X62" s="4">
        <f t="shared" si="11"/>
        <v>2.03672828078695</v>
      </c>
      <c r="Y62" s="4">
        <f t="shared" si="11"/>
        <v>1.67970281168616</v>
      </c>
      <c r="Z62" s="4">
        <f t="shared" si="11"/>
        <v>1.6239137139236</v>
      </c>
      <c r="AA62" s="4">
        <f t="shared" si="11"/>
        <v>1.45079052098247</v>
      </c>
      <c r="AB62" s="4">
        <f t="shared" si="11"/>
        <v>1.19799388326293</v>
      </c>
      <c r="AC62" s="4">
        <f t="shared" si="11"/>
        <v>0.990945635617322</v>
      </c>
      <c r="AD62" s="4">
        <f t="shared" si="11"/>
        <v>0.956701525603722</v>
      </c>
      <c r="AE62" s="4">
        <f t="shared" si="11"/>
        <v>0.817049989498938</v>
      </c>
      <c r="AF62" s="4">
        <f t="shared" si="11"/>
        <v>0.735602519192975</v>
      </c>
      <c r="AG62" s="4">
        <f t="shared" si="11"/>
        <v>0.674522749379412</v>
      </c>
      <c r="AH62" s="4">
        <f t="shared" si="8"/>
        <v>0.445642641823238</v>
      </c>
      <c r="AI62" s="4">
        <f t="shared" si="8"/>
        <v>0.316487019293941</v>
      </c>
      <c r="AJ62" s="4">
        <f t="shared" si="8"/>
        <v>0.254907408174699</v>
      </c>
    </row>
    <row r="63" spans="1:36">
      <c r="A63" t="str">
        <f>"semis_procurement_archetype_"&amp;TEXT(ROUND(Table26916[[#This Row],[2016]],3),"0.0")</f>
        <v>semis_procurement_archetype_14.2</v>
      </c>
      <c r="B63" s="4">
        <f t="shared" si="2"/>
        <v>14.2</v>
      </c>
      <c r="C63" s="4">
        <f t="shared" si="12"/>
        <v>14.2</v>
      </c>
      <c r="D63" s="4">
        <f t="shared" si="12"/>
        <v>14.2</v>
      </c>
      <c r="E63" s="4">
        <f t="shared" si="12"/>
        <v>13.8620060804866</v>
      </c>
      <c r="F63" s="4">
        <f t="shared" si="12"/>
        <v>13.0448860678369</v>
      </c>
      <c r="G63" s="4">
        <f t="shared" si="12"/>
        <v>13.1591214429286</v>
      </c>
      <c r="H63" s="4">
        <f t="shared" si="12"/>
        <v>12.8044422859521</v>
      </c>
      <c r="I63" s="4">
        <f t="shared" si="12"/>
        <v>12.1183399552428</v>
      </c>
      <c r="J63" s="4">
        <f t="shared" si="12"/>
        <v>11.7329220974223</v>
      </c>
      <c r="K63" s="4">
        <f t="shared" si="12"/>
        <v>11.3372825182231</v>
      </c>
      <c r="L63" s="4">
        <f t="shared" si="12"/>
        <v>10.7123234996379</v>
      </c>
      <c r="M63" s="4">
        <f t="shared" si="12"/>
        <v>10.6364729023164</v>
      </c>
      <c r="N63" s="4">
        <f t="shared" si="12"/>
        <v>10.1243958556208</v>
      </c>
      <c r="O63" s="4">
        <f t="shared" si="12"/>
        <v>9.59341454020045</v>
      </c>
      <c r="P63" s="4">
        <f t="shared" si="12"/>
        <v>8.96568473000324</v>
      </c>
      <c r="Q63" s="4">
        <f t="shared" si="12"/>
        <v>7.74023697261669</v>
      </c>
      <c r="R63" s="4">
        <f t="shared" si="12"/>
        <v>6.08706903708182</v>
      </c>
      <c r="S63" s="4">
        <f t="shared" si="11"/>
        <v>5.55987052533783</v>
      </c>
      <c r="T63" s="4">
        <f t="shared" si="11"/>
        <v>4.41388936416789</v>
      </c>
      <c r="U63" s="4">
        <f t="shared" si="11"/>
        <v>3.25900518671389</v>
      </c>
      <c r="V63" s="4">
        <f t="shared" si="11"/>
        <v>3.03642748956327</v>
      </c>
      <c r="W63" s="4">
        <f t="shared" si="11"/>
        <v>2.36483639456815</v>
      </c>
      <c r="X63" s="4">
        <f t="shared" si="11"/>
        <v>2.02404185055545</v>
      </c>
      <c r="Y63" s="4">
        <f t="shared" si="11"/>
        <v>1.66955837586848</v>
      </c>
      <c r="Z63" s="4">
        <f t="shared" si="11"/>
        <v>1.61416649227449</v>
      </c>
      <c r="AA63" s="4">
        <f t="shared" si="11"/>
        <v>1.44227592341048</v>
      </c>
      <c r="AB63" s="4">
        <f t="shared" si="11"/>
        <v>1.19127917868606</v>
      </c>
      <c r="AC63" s="4">
        <f t="shared" si="11"/>
        <v>0.985705098948514</v>
      </c>
      <c r="AD63" s="4">
        <f t="shared" si="11"/>
        <v>0.951704804415586</v>
      </c>
      <c r="AE63" s="4">
        <f t="shared" si="11"/>
        <v>0.813047576715619</v>
      </c>
      <c r="AF63" s="4">
        <f t="shared" si="11"/>
        <v>0.732180006255623</v>
      </c>
      <c r="AG63" s="4">
        <f t="shared" si="11"/>
        <v>0.671535119796615</v>
      </c>
      <c r="AH63" s="4">
        <f t="shared" si="8"/>
        <v>0.444284621344544</v>
      </c>
      <c r="AI63" s="4">
        <f t="shared" si="8"/>
        <v>0.316048577106988</v>
      </c>
      <c r="AJ63" s="4">
        <f t="shared" si="8"/>
        <v>0.254907408174699</v>
      </c>
    </row>
    <row r="64" spans="1:36">
      <c r="A64" t="str">
        <f>"semis_procurement_archetype_"&amp;TEXT(ROUND(Table26916[[#This Row],[2016]],3),"0.0")</f>
        <v>semis_procurement_archetype_14.1</v>
      </c>
      <c r="B64" s="4">
        <f t="shared" si="2"/>
        <v>14.1</v>
      </c>
      <c r="C64" s="4">
        <f t="shared" si="12"/>
        <v>14.1</v>
      </c>
      <c r="D64" s="4">
        <f t="shared" si="12"/>
        <v>14.1</v>
      </c>
      <c r="E64" s="4">
        <f t="shared" si="12"/>
        <v>13.7644298286065</v>
      </c>
      <c r="F64" s="4">
        <f t="shared" si="12"/>
        <v>12.9531693683927</v>
      </c>
      <c r="G64" s="4">
        <f t="shared" si="12"/>
        <v>13.0665855637311</v>
      </c>
      <c r="H64" s="4">
        <f t="shared" si="12"/>
        <v>12.7144498044025</v>
      </c>
      <c r="I64" s="4">
        <f t="shared" si="12"/>
        <v>12.033267500765</v>
      </c>
      <c r="J64" s="4">
        <f t="shared" si="12"/>
        <v>11.6506134672453</v>
      </c>
      <c r="K64" s="4">
        <f t="shared" si="12"/>
        <v>11.257811012121</v>
      </c>
      <c r="L64" s="4">
        <f t="shared" si="12"/>
        <v>10.6373335630519</v>
      </c>
      <c r="M64" s="4">
        <f t="shared" si="12"/>
        <v>10.5620268889552</v>
      </c>
      <c r="N64" s="4">
        <f t="shared" si="12"/>
        <v>10.0536219372516</v>
      </c>
      <c r="O64" s="4">
        <f t="shared" si="12"/>
        <v>9.52644827898322</v>
      </c>
      <c r="P64" s="4">
        <f t="shared" si="12"/>
        <v>8.9032199075973</v>
      </c>
      <c r="Q64" s="4">
        <f t="shared" si="12"/>
        <v>7.68655981332103</v>
      </c>
      <c r="R64" s="4">
        <f t="shared" si="12"/>
        <v>6.04524671435069</v>
      </c>
      <c r="S64" s="4">
        <f t="shared" si="11"/>
        <v>5.52182873334375</v>
      </c>
      <c r="T64" s="4">
        <f t="shared" si="11"/>
        <v>4.38406538179842</v>
      </c>
      <c r="U64" s="4">
        <f t="shared" si="11"/>
        <v>3.23746285733344</v>
      </c>
      <c r="V64" s="4">
        <f t="shared" si="11"/>
        <v>3.01648126071558</v>
      </c>
      <c r="W64" s="4">
        <f t="shared" si="11"/>
        <v>2.34970613299046</v>
      </c>
      <c r="X64" s="4">
        <f t="shared" si="11"/>
        <v>2.01135542032394</v>
      </c>
      <c r="Y64" s="4">
        <f t="shared" si="11"/>
        <v>1.6594139400508</v>
      </c>
      <c r="Z64" s="4">
        <f t="shared" si="11"/>
        <v>1.60441927062537</v>
      </c>
      <c r="AA64" s="4">
        <f t="shared" si="11"/>
        <v>1.43376132583848</v>
      </c>
      <c r="AB64" s="4">
        <f t="shared" si="11"/>
        <v>1.1845644741092</v>
      </c>
      <c r="AC64" s="4">
        <f t="shared" si="11"/>
        <v>0.980464562279706</v>
      </c>
      <c r="AD64" s="4">
        <f t="shared" si="11"/>
        <v>0.94670808322745</v>
      </c>
      <c r="AE64" s="4">
        <f t="shared" si="11"/>
        <v>0.8090451639323</v>
      </c>
      <c r="AF64" s="4">
        <f t="shared" si="11"/>
        <v>0.728757493318271</v>
      </c>
      <c r="AG64" s="4">
        <f t="shared" si="11"/>
        <v>0.668547490213817</v>
      </c>
      <c r="AH64" s="4">
        <f t="shared" si="8"/>
        <v>0.44292660086585</v>
      </c>
      <c r="AI64" s="4">
        <f t="shared" si="8"/>
        <v>0.315610134920034</v>
      </c>
      <c r="AJ64" s="4">
        <f t="shared" si="8"/>
        <v>0.254907408174699</v>
      </c>
    </row>
    <row r="65" spans="1:36">
      <c r="A65" t="str">
        <f>"semis_procurement_archetype_"&amp;TEXT(ROUND(Table26916[[#This Row],[2016]],3),"0.0")</f>
        <v>semis_procurement_archetype_14.0</v>
      </c>
      <c r="B65" s="4">
        <f t="shared" si="2"/>
        <v>14</v>
      </c>
      <c r="C65" s="4">
        <f t="shared" si="12"/>
        <v>14</v>
      </c>
      <c r="D65" s="4">
        <f t="shared" si="12"/>
        <v>14</v>
      </c>
      <c r="E65" s="4">
        <f t="shared" si="12"/>
        <v>13.6668535767264</v>
      </c>
      <c r="F65" s="4">
        <f t="shared" si="12"/>
        <v>12.8614526689485</v>
      </c>
      <c r="G65" s="4">
        <f t="shared" si="12"/>
        <v>12.9740496845336</v>
      </c>
      <c r="H65" s="4">
        <f t="shared" si="12"/>
        <v>12.6244573228528</v>
      </c>
      <c r="I65" s="4">
        <f t="shared" si="12"/>
        <v>11.9481950462872</v>
      </c>
      <c r="J65" s="4">
        <f t="shared" si="12"/>
        <v>11.5683048370682</v>
      </c>
      <c r="K65" s="4">
        <f t="shared" si="12"/>
        <v>11.178339506019</v>
      </c>
      <c r="L65" s="4">
        <f t="shared" si="12"/>
        <v>10.562343626466</v>
      </c>
      <c r="M65" s="4">
        <f t="shared" si="12"/>
        <v>10.487580875594</v>
      </c>
      <c r="N65" s="4">
        <f t="shared" si="12"/>
        <v>9.98284801888244</v>
      </c>
      <c r="O65" s="4">
        <f t="shared" si="12"/>
        <v>9.459482017766</v>
      </c>
      <c r="P65" s="4">
        <f t="shared" si="12"/>
        <v>8.84075508519135</v>
      </c>
      <c r="Q65" s="4">
        <f t="shared" si="12"/>
        <v>7.63288265402536</v>
      </c>
      <c r="R65" s="4">
        <f t="shared" si="12"/>
        <v>6.00342439161957</v>
      </c>
      <c r="S65" s="4">
        <f t="shared" si="11"/>
        <v>5.48378694134968</v>
      </c>
      <c r="T65" s="4">
        <f t="shared" si="11"/>
        <v>4.35424139942894</v>
      </c>
      <c r="U65" s="4">
        <f t="shared" si="11"/>
        <v>3.215920527953</v>
      </c>
      <c r="V65" s="4">
        <f t="shared" si="11"/>
        <v>2.99653503186788</v>
      </c>
      <c r="W65" s="4">
        <f t="shared" si="11"/>
        <v>2.33457587141278</v>
      </c>
      <c r="X65" s="4">
        <f t="shared" si="11"/>
        <v>1.99866899009244</v>
      </c>
      <c r="Y65" s="4">
        <f t="shared" si="11"/>
        <v>1.64926950423312</v>
      </c>
      <c r="Z65" s="4">
        <f t="shared" si="11"/>
        <v>1.59467204897625</v>
      </c>
      <c r="AA65" s="4">
        <f t="shared" si="11"/>
        <v>1.42524672826649</v>
      </c>
      <c r="AB65" s="4">
        <f t="shared" si="11"/>
        <v>1.17784976953233</v>
      </c>
      <c r="AC65" s="4">
        <f t="shared" si="11"/>
        <v>0.975224025610898</v>
      </c>
      <c r="AD65" s="4">
        <f t="shared" si="11"/>
        <v>0.941711362039314</v>
      </c>
      <c r="AE65" s="4">
        <f t="shared" si="11"/>
        <v>0.805042751148981</v>
      </c>
      <c r="AF65" s="4">
        <f t="shared" si="11"/>
        <v>0.725334980380919</v>
      </c>
      <c r="AG65" s="4">
        <f t="shared" si="11"/>
        <v>0.665559860631019</v>
      </c>
      <c r="AH65" s="4">
        <f t="shared" si="8"/>
        <v>0.441568580387156</v>
      </c>
      <c r="AI65" s="4">
        <f t="shared" si="8"/>
        <v>0.315171692733081</v>
      </c>
      <c r="AJ65" s="4">
        <f t="shared" si="8"/>
        <v>0.254907408174699</v>
      </c>
    </row>
    <row r="66" spans="1:36">
      <c r="A66" t="str">
        <f>"semis_procurement_archetype_"&amp;TEXT(ROUND(Table26916[[#This Row],[2016]],3),"0.0")</f>
        <v>semis_procurement_archetype_13.9</v>
      </c>
      <c r="B66" s="4">
        <f t="shared" si="2"/>
        <v>13.9</v>
      </c>
      <c r="C66" s="4">
        <f t="shared" si="12"/>
        <v>13.9</v>
      </c>
      <c r="D66" s="4">
        <f t="shared" si="12"/>
        <v>13.9</v>
      </c>
      <c r="E66" s="4">
        <f t="shared" si="12"/>
        <v>13.5692773248463</v>
      </c>
      <c r="F66" s="4">
        <f t="shared" si="12"/>
        <v>12.7697359695043</v>
      </c>
      <c r="G66" s="4">
        <f t="shared" si="12"/>
        <v>12.8815138053361</v>
      </c>
      <c r="H66" s="4">
        <f t="shared" si="12"/>
        <v>12.5344648413032</v>
      </c>
      <c r="I66" s="4">
        <f t="shared" si="12"/>
        <v>11.8631225918094</v>
      </c>
      <c r="J66" s="4">
        <f t="shared" si="12"/>
        <v>11.4859962068912</v>
      </c>
      <c r="K66" s="4">
        <f t="shared" si="12"/>
        <v>11.0988679999169</v>
      </c>
      <c r="L66" s="4">
        <f t="shared" si="12"/>
        <v>10.48735368988</v>
      </c>
      <c r="M66" s="4">
        <f t="shared" si="12"/>
        <v>10.4131348622328</v>
      </c>
      <c r="N66" s="4">
        <f t="shared" si="12"/>
        <v>9.91207410051326</v>
      </c>
      <c r="O66" s="4">
        <f t="shared" si="12"/>
        <v>9.39251575654877</v>
      </c>
      <c r="P66" s="4">
        <f t="shared" si="12"/>
        <v>8.7782902627854</v>
      </c>
      <c r="Q66" s="4">
        <f t="shared" si="12"/>
        <v>7.5792054947297</v>
      </c>
      <c r="R66" s="4">
        <f t="shared" si="12"/>
        <v>5.96160206888845</v>
      </c>
      <c r="S66" s="4">
        <f t="shared" si="11"/>
        <v>5.44574514935561</v>
      </c>
      <c r="T66" s="4">
        <f t="shared" si="11"/>
        <v>4.32441741705946</v>
      </c>
      <c r="U66" s="4">
        <f t="shared" si="11"/>
        <v>3.19437819857255</v>
      </c>
      <c r="V66" s="4">
        <f t="shared" si="11"/>
        <v>2.97658880302018</v>
      </c>
      <c r="W66" s="4">
        <f t="shared" si="11"/>
        <v>2.31944560983509</v>
      </c>
      <c r="X66" s="4">
        <f t="shared" si="11"/>
        <v>1.98598255986093</v>
      </c>
      <c r="Y66" s="4">
        <f t="shared" si="11"/>
        <v>1.63912506841544</v>
      </c>
      <c r="Z66" s="4">
        <f t="shared" si="11"/>
        <v>1.58492482732714</v>
      </c>
      <c r="AA66" s="4">
        <f t="shared" si="11"/>
        <v>1.4167321306945</v>
      </c>
      <c r="AB66" s="4">
        <f t="shared" si="11"/>
        <v>1.17113506495547</v>
      </c>
      <c r="AC66" s="4">
        <f t="shared" si="11"/>
        <v>0.96998348894209</v>
      </c>
      <c r="AD66" s="4">
        <f t="shared" si="11"/>
        <v>0.936714640851178</v>
      </c>
      <c r="AE66" s="4">
        <f t="shared" si="11"/>
        <v>0.801040338365661</v>
      </c>
      <c r="AF66" s="4">
        <f t="shared" si="11"/>
        <v>0.721912467443567</v>
      </c>
      <c r="AG66" s="4">
        <f t="shared" si="11"/>
        <v>0.662572231048221</v>
      </c>
      <c r="AH66" s="4">
        <f t="shared" si="8"/>
        <v>0.440210559908462</v>
      </c>
      <c r="AI66" s="4">
        <f t="shared" si="8"/>
        <v>0.314733250546127</v>
      </c>
      <c r="AJ66" s="4">
        <f t="shared" si="8"/>
        <v>0.254907408174699</v>
      </c>
    </row>
    <row r="67" spans="1:36">
      <c r="A67" t="str">
        <f>"semis_procurement_archetype_"&amp;TEXT(ROUND(Table26916[[#This Row],[2016]],3),"0.0")</f>
        <v>semis_procurement_archetype_13.8</v>
      </c>
      <c r="B67" s="4">
        <f t="shared" si="2"/>
        <v>13.8</v>
      </c>
      <c r="C67" s="4">
        <f t="shared" si="12"/>
        <v>13.8</v>
      </c>
      <c r="D67" s="4">
        <f t="shared" si="12"/>
        <v>13.8</v>
      </c>
      <c r="E67" s="4">
        <f t="shared" si="12"/>
        <v>13.4717010729662</v>
      </c>
      <c r="F67" s="4">
        <f t="shared" si="12"/>
        <v>12.67801927006</v>
      </c>
      <c r="G67" s="4">
        <f t="shared" si="12"/>
        <v>12.7889779261385</v>
      </c>
      <c r="H67" s="4">
        <f t="shared" si="12"/>
        <v>12.4444723597536</v>
      </c>
      <c r="I67" s="4">
        <f t="shared" si="12"/>
        <v>11.7780501373316</v>
      </c>
      <c r="J67" s="4">
        <f t="shared" si="12"/>
        <v>11.4036875767142</v>
      </c>
      <c r="K67" s="4">
        <f t="shared" si="12"/>
        <v>11.0193964938149</v>
      </c>
      <c r="L67" s="4">
        <f t="shared" si="12"/>
        <v>10.412363753294</v>
      </c>
      <c r="M67" s="4">
        <f t="shared" si="12"/>
        <v>10.3386888488716</v>
      </c>
      <c r="N67" s="4">
        <f t="shared" si="12"/>
        <v>9.84130018214407</v>
      </c>
      <c r="O67" s="4">
        <f t="shared" si="12"/>
        <v>9.32554949533155</v>
      </c>
      <c r="P67" s="4">
        <f t="shared" si="12"/>
        <v>8.71582544037946</v>
      </c>
      <c r="Q67" s="4">
        <f t="shared" si="12"/>
        <v>7.52552833543403</v>
      </c>
      <c r="R67" s="4">
        <f t="shared" si="12"/>
        <v>5.91977974615732</v>
      </c>
      <c r="S67" s="4">
        <f t="shared" si="11"/>
        <v>5.40770335736153</v>
      </c>
      <c r="T67" s="4">
        <f t="shared" si="11"/>
        <v>4.29459343468999</v>
      </c>
      <c r="U67" s="4">
        <f t="shared" si="11"/>
        <v>3.1728358691921</v>
      </c>
      <c r="V67" s="4">
        <f t="shared" si="11"/>
        <v>2.95664257417249</v>
      </c>
      <c r="W67" s="4">
        <f t="shared" si="11"/>
        <v>2.30431534825741</v>
      </c>
      <c r="X67" s="4">
        <f t="shared" si="11"/>
        <v>1.97329612962943</v>
      </c>
      <c r="Y67" s="4">
        <f t="shared" si="11"/>
        <v>1.62898063259776</v>
      </c>
      <c r="Z67" s="4">
        <f t="shared" si="11"/>
        <v>1.57517760567802</v>
      </c>
      <c r="AA67" s="4">
        <f t="shared" si="11"/>
        <v>1.4082175331225</v>
      </c>
      <c r="AB67" s="4">
        <f t="shared" si="11"/>
        <v>1.1644203603786</v>
      </c>
      <c r="AC67" s="4">
        <f t="shared" si="11"/>
        <v>0.964742952273282</v>
      </c>
      <c r="AD67" s="4">
        <f t="shared" si="11"/>
        <v>0.931717919663043</v>
      </c>
      <c r="AE67" s="4">
        <f t="shared" si="11"/>
        <v>0.797037925582342</v>
      </c>
      <c r="AF67" s="4">
        <f t="shared" si="11"/>
        <v>0.718489954506215</v>
      </c>
      <c r="AG67" s="4">
        <f t="shared" si="11"/>
        <v>0.659584601465423</v>
      </c>
      <c r="AH67" s="4">
        <f t="shared" si="8"/>
        <v>0.438852539429768</v>
      </c>
      <c r="AI67" s="4">
        <f t="shared" si="8"/>
        <v>0.314294808359174</v>
      </c>
      <c r="AJ67" s="4">
        <f t="shared" si="8"/>
        <v>0.254907408174699</v>
      </c>
    </row>
    <row r="68" spans="1:36">
      <c r="A68" t="str">
        <f>"semis_procurement_archetype_"&amp;TEXT(ROUND(Table26916[[#This Row],[2016]],3),"0.0")</f>
        <v>semis_procurement_archetype_13.7</v>
      </c>
      <c r="B68" s="4">
        <f t="shared" si="2"/>
        <v>13.7</v>
      </c>
      <c r="C68" s="4">
        <f t="shared" si="12"/>
        <v>13.7</v>
      </c>
      <c r="D68" s="4">
        <f t="shared" si="12"/>
        <v>13.7</v>
      </c>
      <c r="E68" s="4">
        <f t="shared" si="12"/>
        <v>13.3741248210861</v>
      </c>
      <c r="F68" s="4">
        <f t="shared" si="12"/>
        <v>12.5863025706158</v>
      </c>
      <c r="G68" s="4">
        <f t="shared" si="12"/>
        <v>12.696442046941</v>
      </c>
      <c r="H68" s="4">
        <f t="shared" si="12"/>
        <v>12.3544798782039</v>
      </c>
      <c r="I68" s="4">
        <f t="shared" si="12"/>
        <v>11.6929776828538</v>
      </c>
      <c r="J68" s="4">
        <f t="shared" si="12"/>
        <v>11.3213789465372</v>
      </c>
      <c r="K68" s="4">
        <f t="shared" si="12"/>
        <v>10.9399249877128</v>
      </c>
      <c r="L68" s="4">
        <f t="shared" si="12"/>
        <v>10.3373738167081</v>
      </c>
      <c r="M68" s="4">
        <f t="shared" si="12"/>
        <v>10.2642428355104</v>
      </c>
      <c r="N68" s="4">
        <f t="shared" si="12"/>
        <v>9.77052626377488</v>
      </c>
      <c r="O68" s="4">
        <f t="shared" si="12"/>
        <v>9.25858323411432</v>
      </c>
      <c r="P68" s="4">
        <f t="shared" si="12"/>
        <v>8.65336061797351</v>
      </c>
      <c r="Q68" s="4">
        <f t="shared" si="12"/>
        <v>7.47185117613837</v>
      </c>
      <c r="R68" s="4">
        <f t="shared" si="12"/>
        <v>5.8779574234262</v>
      </c>
      <c r="S68" s="4">
        <f t="shared" si="11"/>
        <v>5.36966156536746</v>
      </c>
      <c r="T68" s="4">
        <f t="shared" si="11"/>
        <v>4.26476945232051</v>
      </c>
      <c r="U68" s="4">
        <f t="shared" si="11"/>
        <v>3.15129353981166</v>
      </c>
      <c r="V68" s="4">
        <f t="shared" si="11"/>
        <v>2.93669634532479</v>
      </c>
      <c r="W68" s="4">
        <f t="shared" si="11"/>
        <v>2.28918508667973</v>
      </c>
      <c r="X68" s="4">
        <f t="shared" si="11"/>
        <v>1.96060969939792</v>
      </c>
      <c r="Y68" s="4">
        <f t="shared" si="11"/>
        <v>1.61883619678008</v>
      </c>
      <c r="Z68" s="4">
        <f t="shared" si="11"/>
        <v>1.5654303840289</v>
      </c>
      <c r="AA68" s="4">
        <f t="shared" si="11"/>
        <v>1.39970293555051</v>
      </c>
      <c r="AB68" s="4">
        <f t="shared" si="11"/>
        <v>1.15770565580174</v>
      </c>
      <c r="AC68" s="4">
        <f t="shared" si="11"/>
        <v>0.959502415604475</v>
      </c>
      <c r="AD68" s="4">
        <f t="shared" si="11"/>
        <v>0.926721198474907</v>
      </c>
      <c r="AE68" s="4">
        <f t="shared" si="11"/>
        <v>0.793035512799023</v>
      </c>
      <c r="AF68" s="4">
        <f t="shared" si="11"/>
        <v>0.715067441568863</v>
      </c>
      <c r="AG68" s="4">
        <f t="shared" si="11"/>
        <v>0.656596971882626</v>
      </c>
      <c r="AH68" s="4">
        <f t="shared" si="8"/>
        <v>0.437494518951074</v>
      </c>
      <c r="AI68" s="4">
        <f t="shared" si="8"/>
        <v>0.31385636617222</v>
      </c>
      <c r="AJ68" s="4">
        <f t="shared" si="8"/>
        <v>0.254907408174699</v>
      </c>
    </row>
    <row r="69" spans="1:36">
      <c r="A69" t="str">
        <f>"semis_procurement_archetype_"&amp;TEXT(ROUND(Table26916[[#This Row],[2016]],3),"0.0")</f>
        <v>semis_procurement_archetype_13.6</v>
      </c>
      <c r="B69" s="4">
        <f t="shared" si="2"/>
        <v>13.6</v>
      </c>
      <c r="C69" s="4">
        <f t="shared" si="12"/>
        <v>13.6</v>
      </c>
      <c r="D69" s="4">
        <f t="shared" si="12"/>
        <v>13.6</v>
      </c>
      <c r="E69" s="4">
        <f t="shared" si="12"/>
        <v>13.276548569206</v>
      </c>
      <c r="F69" s="4">
        <f t="shared" si="12"/>
        <v>12.4945858711716</v>
      </c>
      <c r="G69" s="4">
        <f t="shared" si="12"/>
        <v>12.6039061677435</v>
      </c>
      <c r="H69" s="4">
        <f t="shared" si="12"/>
        <v>12.2644873966543</v>
      </c>
      <c r="I69" s="4">
        <f t="shared" si="12"/>
        <v>11.607905228376</v>
      </c>
      <c r="J69" s="4">
        <f t="shared" si="12"/>
        <v>11.2390703163602</v>
      </c>
      <c r="K69" s="4">
        <f t="shared" si="12"/>
        <v>10.8604534816108</v>
      </c>
      <c r="L69" s="4">
        <f t="shared" si="12"/>
        <v>10.2623838801221</v>
      </c>
      <c r="M69" s="4">
        <f t="shared" si="12"/>
        <v>10.1897968221492</v>
      </c>
      <c r="N69" s="4">
        <f t="shared" si="12"/>
        <v>9.69975234540569</v>
      </c>
      <c r="O69" s="4">
        <f t="shared" si="12"/>
        <v>9.19161697289709</v>
      </c>
      <c r="P69" s="4">
        <f t="shared" si="12"/>
        <v>8.59089579556756</v>
      </c>
      <c r="Q69" s="4">
        <f t="shared" si="12"/>
        <v>7.4181740168427</v>
      </c>
      <c r="R69" s="4">
        <f t="shared" si="12"/>
        <v>5.83613510069508</v>
      </c>
      <c r="S69" s="4">
        <f t="shared" si="11"/>
        <v>5.33161977337339</v>
      </c>
      <c r="T69" s="4">
        <f t="shared" si="11"/>
        <v>4.23494546995103</v>
      </c>
      <c r="U69" s="4">
        <f t="shared" si="11"/>
        <v>3.12975121043121</v>
      </c>
      <c r="V69" s="4">
        <f t="shared" si="11"/>
        <v>2.9167501164771</v>
      </c>
      <c r="W69" s="4">
        <f t="shared" si="11"/>
        <v>2.27405482510204</v>
      </c>
      <c r="X69" s="4">
        <f t="shared" si="11"/>
        <v>1.94792326916642</v>
      </c>
      <c r="Y69" s="4">
        <f t="shared" si="11"/>
        <v>1.6086917609624</v>
      </c>
      <c r="Z69" s="4">
        <f t="shared" si="11"/>
        <v>1.55568316237979</v>
      </c>
      <c r="AA69" s="4">
        <f t="shared" si="11"/>
        <v>1.39118833797852</v>
      </c>
      <c r="AB69" s="4">
        <f t="shared" si="11"/>
        <v>1.15099095122487</v>
      </c>
      <c r="AC69" s="4">
        <f t="shared" si="11"/>
        <v>0.954261878935667</v>
      </c>
      <c r="AD69" s="4">
        <f t="shared" si="11"/>
        <v>0.921724477286771</v>
      </c>
      <c r="AE69" s="4">
        <f t="shared" si="11"/>
        <v>0.789033100015704</v>
      </c>
      <c r="AF69" s="4">
        <f t="shared" si="11"/>
        <v>0.711644928631511</v>
      </c>
      <c r="AG69" s="4">
        <f t="shared" si="11"/>
        <v>0.653609342299828</v>
      </c>
      <c r="AH69" s="4">
        <f t="shared" si="8"/>
        <v>0.436136498472379</v>
      </c>
      <c r="AI69" s="4">
        <f t="shared" si="8"/>
        <v>0.313417923985267</v>
      </c>
      <c r="AJ69" s="4">
        <f t="shared" si="8"/>
        <v>0.254907408174699</v>
      </c>
    </row>
    <row r="70" spans="1:36">
      <c r="A70" t="str">
        <f>"semis_procurement_archetype_"&amp;TEXT(ROUND(Table26916[[#This Row],[2016]],3),"0.0")</f>
        <v>semis_procurement_archetype_13.5</v>
      </c>
      <c r="B70" s="4">
        <f t="shared" si="2"/>
        <v>13.5</v>
      </c>
      <c r="C70" s="4">
        <f t="shared" si="12"/>
        <v>13.5</v>
      </c>
      <c r="D70" s="4">
        <f t="shared" si="12"/>
        <v>13.5</v>
      </c>
      <c r="E70" s="4">
        <f t="shared" si="12"/>
        <v>13.1789723173259</v>
      </c>
      <c r="F70" s="4">
        <f t="shared" si="12"/>
        <v>12.4028691717274</v>
      </c>
      <c r="G70" s="4">
        <f t="shared" si="12"/>
        <v>12.511370288546</v>
      </c>
      <c r="H70" s="4">
        <f t="shared" si="12"/>
        <v>12.1744949151047</v>
      </c>
      <c r="I70" s="4">
        <f t="shared" si="12"/>
        <v>11.5228327738982</v>
      </c>
      <c r="J70" s="4">
        <f t="shared" si="12"/>
        <v>11.1567616861832</v>
      </c>
      <c r="K70" s="4">
        <f t="shared" si="12"/>
        <v>10.7809819755088</v>
      </c>
      <c r="L70" s="4">
        <f t="shared" si="12"/>
        <v>10.1873939435362</v>
      </c>
      <c r="M70" s="4">
        <f t="shared" si="12"/>
        <v>10.115350808788</v>
      </c>
      <c r="N70" s="4">
        <f t="shared" si="12"/>
        <v>9.62897842703651</v>
      </c>
      <c r="O70" s="4">
        <f t="shared" si="12"/>
        <v>9.12465071167987</v>
      </c>
      <c r="P70" s="4">
        <f t="shared" si="12"/>
        <v>8.52843097316162</v>
      </c>
      <c r="Q70" s="4">
        <f t="shared" si="12"/>
        <v>7.36449685754704</v>
      </c>
      <c r="R70" s="4">
        <f t="shared" si="12"/>
        <v>5.79431277796395</v>
      </c>
      <c r="S70" s="4">
        <f t="shared" si="11"/>
        <v>5.29357798137931</v>
      </c>
      <c r="T70" s="4">
        <f t="shared" si="11"/>
        <v>4.20512148758155</v>
      </c>
      <c r="U70" s="4">
        <f t="shared" si="11"/>
        <v>3.10820888105077</v>
      </c>
      <c r="V70" s="4">
        <f t="shared" si="11"/>
        <v>2.8968038876294</v>
      </c>
      <c r="W70" s="4">
        <f t="shared" si="11"/>
        <v>2.25892456352436</v>
      </c>
      <c r="X70" s="4">
        <f t="shared" si="11"/>
        <v>1.93523683893491</v>
      </c>
      <c r="Y70" s="4">
        <f t="shared" si="11"/>
        <v>1.59854732514472</v>
      </c>
      <c r="Z70" s="4">
        <f t="shared" si="11"/>
        <v>1.54593594073067</v>
      </c>
      <c r="AA70" s="4">
        <f t="shared" si="11"/>
        <v>1.38267374040652</v>
      </c>
      <c r="AB70" s="4">
        <f t="shared" si="11"/>
        <v>1.14427624664801</v>
      </c>
      <c r="AC70" s="4">
        <f t="shared" si="11"/>
        <v>0.949021342266859</v>
      </c>
      <c r="AD70" s="4">
        <f t="shared" si="11"/>
        <v>0.916727756098635</v>
      </c>
      <c r="AE70" s="4">
        <f t="shared" si="11"/>
        <v>0.785030687232384</v>
      </c>
      <c r="AF70" s="4">
        <f t="shared" si="11"/>
        <v>0.708222415694159</v>
      </c>
      <c r="AG70" s="4">
        <f t="shared" si="11"/>
        <v>0.65062171271703</v>
      </c>
      <c r="AH70" s="4">
        <f t="shared" si="8"/>
        <v>0.434778477993685</v>
      </c>
      <c r="AI70" s="4">
        <f t="shared" si="8"/>
        <v>0.312979481798313</v>
      </c>
      <c r="AJ70" s="4">
        <f t="shared" si="8"/>
        <v>0.254907408174699</v>
      </c>
    </row>
    <row r="71" spans="1:36">
      <c r="A71" t="str">
        <f>"semis_procurement_archetype_"&amp;TEXT(ROUND(Table26916[[#This Row],[2016]],3),"0.0")</f>
        <v>semis_procurement_archetype_13.4</v>
      </c>
      <c r="B71" s="4">
        <f t="shared" ref="B71:B134" si="13">MROUND(B70-0.1,0.1)</f>
        <v>13.4</v>
      </c>
      <c r="C71" s="4">
        <f t="shared" si="12"/>
        <v>13.4</v>
      </c>
      <c r="D71" s="4">
        <f t="shared" si="12"/>
        <v>13.4</v>
      </c>
      <c r="E71" s="4">
        <f t="shared" si="12"/>
        <v>13.0813960654458</v>
      </c>
      <c r="F71" s="4">
        <f t="shared" si="12"/>
        <v>12.3111524722832</v>
      </c>
      <c r="G71" s="4">
        <f t="shared" si="12"/>
        <v>12.4188344093485</v>
      </c>
      <c r="H71" s="4">
        <f t="shared" si="12"/>
        <v>12.0845024335551</v>
      </c>
      <c r="I71" s="4">
        <f t="shared" si="12"/>
        <v>11.4377603194204</v>
      </c>
      <c r="J71" s="4">
        <f t="shared" si="12"/>
        <v>11.0744530560062</v>
      </c>
      <c r="K71" s="4">
        <f t="shared" si="12"/>
        <v>10.7015104694067</v>
      </c>
      <c r="L71" s="4">
        <f t="shared" si="12"/>
        <v>10.1124040069502</v>
      </c>
      <c r="M71" s="4">
        <f t="shared" si="12"/>
        <v>10.0409047954268</v>
      </c>
      <c r="N71" s="4">
        <f t="shared" si="12"/>
        <v>9.55820450866732</v>
      </c>
      <c r="O71" s="4">
        <f t="shared" si="12"/>
        <v>9.05768445046264</v>
      </c>
      <c r="P71" s="4">
        <f t="shared" si="12"/>
        <v>8.46596615075567</v>
      </c>
      <c r="Q71" s="4">
        <f t="shared" si="12"/>
        <v>7.31081969825137</v>
      </c>
      <c r="R71" s="4">
        <f t="shared" si="12"/>
        <v>5.75249045523283</v>
      </c>
      <c r="S71" s="4">
        <f t="shared" si="11"/>
        <v>5.25553618938524</v>
      </c>
      <c r="T71" s="4">
        <f t="shared" si="11"/>
        <v>4.17529750521208</v>
      </c>
      <c r="U71" s="4">
        <f t="shared" si="11"/>
        <v>3.08666655167032</v>
      </c>
      <c r="V71" s="4">
        <f t="shared" si="11"/>
        <v>2.8768576587817</v>
      </c>
      <c r="W71" s="4">
        <f t="shared" si="11"/>
        <v>2.24379430194667</v>
      </c>
      <c r="X71" s="4">
        <f t="shared" si="11"/>
        <v>1.92255040870341</v>
      </c>
      <c r="Y71" s="4">
        <f t="shared" si="11"/>
        <v>1.58840288932704</v>
      </c>
      <c r="Z71" s="4">
        <f t="shared" si="11"/>
        <v>1.53618871908155</v>
      </c>
      <c r="AA71" s="4">
        <f t="shared" si="11"/>
        <v>1.37415914283453</v>
      </c>
      <c r="AB71" s="4">
        <f t="shared" si="11"/>
        <v>1.13756154207114</v>
      </c>
      <c r="AC71" s="4">
        <f t="shared" si="11"/>
        <v>0.943780805598051</v>
      </c>
      <c r="AD71" s="4">
        <f t="shared" si="11"/>
        <v>0.9117310349105</v>
      </c>
      <c r="AE71" s="4">
        <f t="shared" si="11"/>
        <v>0.781028274449065</v>
      </c>
      <c r="AF71" s="4">
        <f t="shared" si="11"/>
        <v>0.704799902756807</v>
      </c>
      <c r="AG71" s="4">
        <f t="shared" si="11"/>
        <v>0.647634083134232</v>
      </c>
      <c r="AH71" s="4">
        <f t="shared" si="8"/>
        <v>0.433420457514991</v>
      </c>
      <c r="AI71" s="4">
        <f t="shared" si="8"/>
        <v>0.31254103961136</v>
      </c>
      <c r="AJ71" s="4">
        <f t="shared" si="8"/>
        <v>0.254907408174699</v>
      </c>
    </row>
    <row r="72" spans="1:36">
      <c r="A72" t="str">
        <f>"semis_procurement_archetype_"&amp;TEXT(ROUND(Table26916[[#This Row],[2016]],3),"0.0")</f>
        <v>semis_procurement_archetype_13.3</v>
      </c>
      <c r="B72" s="4">
        <f t="shared" si="13"/>
        <v>13.3</v>
      </c>
      <c r="C72" s="4">
        <f t="shared" si="12"/>
        <v>13.3</v>
      </c>
      <c r="D72" s="4">
        <f t="shared" si="12"/>
        <v>13.3</v>
      </c>
      <c r="E72" s="4">
        <f t="shared" si="12"/>
        <v>12.9838198135657</v>
      </c>
      <c r="F72" s="4">
        <f t="shared" si="12"/>
        <v>12.219435772839</v>
      </c>
      <c r="G72" s="4">
        <f t="shared" si="12"/>
        <v>12.3262985301509</v>
      </c>
      <c r="H72" s="4">
        <f t="shared" si="12"/>
        <v>11.9945099520054</v>
      </c>
      <c r="I72" s="4">
        <f t="shared" si="12"/>
        <v>11.3526878649426</v>
      </c>
      <c r="J72" s="4">
        <f t="shared" si="12"/>
        <v>10.9921444258292</v>
      </c>
      <c r="K72" s="4">
        <f t="shared" si="12"/>
        <v>10.6220389633047</v>
      </c>
      <c r="L72" s="4">
        <f t="shared" si="12"/>
        <v>10.0374140703642</v>
      </c>
      <c r="M72" s="4">
        <f t="shared" si="12"/>
        <v>9.9664587820656</v>
      </c>
      <c r="N72" s="4">
        <f t="shared" si="12"/>
        <v>9.48743059029813</v>
      </c>
      <c r="O72" s="4">
        <f t="shared" si="12"/>
        <v>8.99071818924542</v>
      </c>
      <c r="P72" s="4">
        <f t="shared" si="12"/>
        <v>8.40350132834972</v>
      </c>
      <c r="Q72" s="4">
        <f t="shared" si="12"/>
        <v>7.25714253895571</v>
      </c>
      <c r="R72" s="4">
        <f t="shared" si="12"/>
        <v>5.71066813250171</v>
      </c>
      <c r="S72" s="4">
        <f t="shared" si="11"/>
        <v>5.21749439739116</v>
      </c>
      <c r="T72" s="4">
        <f t="shared" si="11"/>
        <v>4.1454735228426</v>
      </c>
      <c r="U72" s="4">
        <f t="shared" si="11"/>
        <v>3.06512422228987</v>
      </c>
      <c r="V72" s="4">
        <f t="shared" si="11"/>
        <v>2.85691142993401</v>
      </c>
      <c r="W72" s="4">
        <f t="shared" si="11"/>
        <v>2.22866404036899</v>
      </c>
      <c r="X72" s="4">
        <f t="shared" si="11"/>
        <v>1.9098639784719</v>
      </c>
      <c r="Y72" s="4">
        <f t="shared" si="11"/>
        <v>1.57825845350936</v>
      </c>
      <c r="Z72" s="4">
        <f t="shared" si="11"/>
        <v>1.52644149743244</v>
      </c>
      <c r="AA72" s="4">
        <f t="shared" si="11"/>
        <v>1.36564454526254</v>
      </c>
      <c r="AB72" s="4">
        <f t="shared" si="11"/>
        <v>1.13084683749428</v>
      </c>
      <c r="AC72" s="4">
        <f t="shared" si="11"/>
        <v>0.938540268929243</v>
      </c>
      <c r="AD72" s="4">
        <f t="shared" si="11"/>
        <v>0.906734313722364</v>
      </c>
      <c r="AE72" s="4">
        <f t="shared" si="11"/>
        <v>0.777025861665746</v>
      </c>
      <c r="AF72" s="4">
        <f t="shared" si="11"/>
        <v>0.701377389819456</v>
      </c>
      <c r="AG72" s="4">
        <f t="shared" si="11"/>
        <v>0.644646453551434</v>
      </c>
      <c r="AH72" s="4">
        <f t="shared" si="8"/>
        <v>0.432062437036297</v>
      </c>
      <c r="AI72" s="4">
        <f t="shared" si="8"/>
        <v>0.312102597424406</v>
      </c>
      <c r="AJ72" s="4">
        <f t="shared" si="8"/>
        <v>0.254907408174699</v>
      </c>
    </row>
    <row r="73" spans="1:36">
      <c r="A73" t="str">
        <f>"semis_procurement_archetype_"&amp;TEXT(ROUND(Table26916[[#This Row],[2016]],3),"0.0")</f>
        <v>semis_procurement_archetype_13.2</v>
      </c>
      <c r="B73" s="4">
        <f t="shared" si="13"/>
        <v>13.2</v>
      </c>
      <c r="C73" s="4">
        <f t="shared" si="12"/>
        <v>13.2</v>
      </c>
      <c r="D73" s="4">
        <f t="shared" si="12"/>
        <v>13.2</v>
      </c>
      <c r="E73" s="4">
        <f t="shared" si="12"/>
        <v>12.8862435616856</v>
      </c>
      <c r="F73" s="4">
        <f t="shared" si="12"/>
        <v>12.1277190733947</v>
      </c>
      <c r="G73" s="4">
        <f t="shared" si="12"/>
        <v>12.2337626509534</v>
      </c>
      <c r="H73" s="4">
        <f t="shared" si="12"/>
        <v>11.9045174704558</v>
      </c>
      <c r="I73" s="4">
        <f t="shared" si="12"/>
        <v>11.2676154104647</v>
      </c>
      <c r="J73" s="4">
        <f t="shared" si="12"/>
        <v>10.9098357956521</v>
      </c>
      <c r="K73" s="4">
        <f t="shared" si="12"/>
        <v>10.5425674572026</v>
      </c>
      <c r="L73" s="4">
        <f t="shared" si="12"/>
        <v>9.96242413377827</v>
      </c>
      <c r="M73" s="4">
        <f t="shared" si="12"/>
        <v>9.89201276870441</v>
      </c>
      <c r="N73" s="4">
        <f t="shared" si="12"/>
        <v>9.41665667192894</v>
      </c>
      <c r="O73" s="4">
        <f t="shared" si="12"/>
        <v>8.92375192802819</v>
      </c>
      <c r="P73" s="4">
        <f t="shared" si="12"/>
        <v>8.34103650594377</v>
      </c>
      <c r="Q73" s="4">
        <f t="shared" si="12"/>
        <v>7.20346537966004</v>
      </c>
      <c r="R73" s="4">
        <f t="shared" si="12"/>
        <v>5.66884580977058</v>
      </c>
      <c r="S73" s="4">
        <f t="shared" si="11"/>
        <v>5.17945260539709</v>
      </c>
      <c r="T73" s="4">
        <f t="shared" si="11"/>
        <v>4.11564954047313</v>
      </c>
      <c r="U73" s="4">
        <f t="shared" si="11"/>
        <v>3.04358189290943</v>
      </c>
      <c r="V73" s="4">
        <f t="shared" si="11"/>
        <v>2.83696520108631</v>
      </c>
      <c r="W73" s="4">
        <f t="shared" si="11"/>
        <v>2.2135337787913</v>
      </c>
      <c r="X73" s="4">
        <f t="shared" si="11"/>
        <v>1.89717754824039</v>
      </c>
      <c r="Y73" s="4">
        <f t="shared" si="11"/>
        <v>1.56811401769168</v>
      </c>
      <c r="Z73" s="4">
        <f t="shared" si="11"/>
        <v>1.51669427578332</v>
      </c>
      <c r="AA73" s="4">
        <f t="shared" si="11"/>
        <v>1.35712994769054</v>
      </c>
      <c r="AB73" s="4">
        <f t="shared" si="11"/>
        <v>1.12413213291741</v>
      </c>
      <c r="AC73" s="4">
        <f t="shared" si="11"/>
        <v>0.933299732260435</v>
      </c>
      <c r="AD73" s="4">
        <f t="shared" si="11"/>
        <v>0.901737592534228</v>
      </c>
      <c r="AE73" s="4">
        <f t="shared" si="11"/>
        <v>0.773023448882427</v>
      </c>
      <c r="AF73" s="4">
        <f t="shared" si="11"/>
        <v>0.697954876882104</v>
      </c>
      <c r="AG73" s="4">
        <f t="shared" si="11"/>
        <v>0.641658823968637</v>
      </c>
      <c r="AH73" s="4">
        <f t="shared" si="8"/>
        <v>0.430704416557603</v>
      </c>
      <c r="AI73" s="4">
        <f t="shared" si="8"/>
        <v>0.311664155237453</v>
      </c>
      <c r="AJ73" s="4">
        <f t="shared" si="8"/>
        <v>0.254907408174699</v>
      </c>
    </row>
    <row r="74" spans="1:36">
      <c r="A74" t="str">
        <f>"semis_procurement_archetype_"&amp;TEXT(ROUND(Table26916[[#This Row],[2016]],3),"0.0")</f>
        <v>semis_procurement_archetype_13.1</v>
      </c>
      <c r="B74" s="4">
        <f t="shared" si="13"/>
        <v>13.1</v>
      </c>
      <c r="C74" s="4">
        <f t="shared" si="12"/>
        <v>13.1</v>
      </c>
      <c r="D74" s="4">
        <f t="shared" si="12"/>
        <v>13.1</v>
      </c>
      <c r="E74" s="4">
        <f t="shared" si="12"/>
        <v>12.7886673098055</v>
      </c>
      <c r="F74" s="4">
        <f t="shared" si="12"/>
        <v>12.0360023739505</v>
      </c>
      <c r="G74" s="4">
        <f t="shared" si="12"/>
        <v>12.1412267717559</v>
      </c>
      <c r="H74" s="4">
        <f t="shared" si="12"/>
        <v>11.8145249889062</v>
      </c>
      <c r="I74" s="4">
        <f t="shared" si="12"/>
        <v>11.1825429559869</v>
      </c>
      <c r="J74" s="4">
        <f t="shared" si="12"/>
        <v>10.8275271654751</v>
      </c>
      <c r="K74" s="4">
        <f t="shared" si="12"/>
        <v>10.4630959511006</v>
      </c>
      <c r="L74" s="4">
        <f t="shared" si="12"/>
        <v>9.88743419719231</v>
      </c>
      <c r="M74" s="4">
        <f t="shared" si="12"/>
        <v>9.81756675534321</v>
      </c>
      <c r="N74" s="4">
        <f t="shared" si="12"/>
        <v>9.34588275355975</v>
      </c>
      <c r="O74" s="4">
        <f t="shared" si="12"/>
        <v>8.85678566681096</v>
      </c>
      <c r="P74" s="4">
        <f t="shared" si="12"/>
        <v>8.27857168353783</v>
      </c>
      <c r="Q74" s="4">
        <f t="shared" si="12"/>
        <v>7.14978822036438</v>
      </c>
      <c r="R74" s="4">
        <f t="shared" si="12"/>
        <v>5.62702348703946</v>
      </c>
      <c r="S74" s="4">
        <f t="shared" si="11"/>
        <v>5.14141081340302</v>
      </c>
      <c r="T74" s="4">
        <f t="shared" si="11"/>
        <v>4.08582555810365</v>
      </c>
      <c r="U74" s="4">
        <f t="shared" si="11"/>
        <v>3.02203956352898</v>
      </c>
      <c r="V74" s="4">
        <f t="shared" si="11"/>
        <v>2.81701897223862</v>
      </c>
      <c r="W74" s="4">
        <f t="shared" si="11"/>
        <v>2.19840351721362</v>
      </c>
      <c r="X74" s="4">
        <f t="shared" si="11"/>
        <v>1.88449111800889</v>
      </c>
      <c r="Y74" s="4">
        <f t="shared" si="11"/>
        <v>1.557969581874</v>
      </c>
      <c r="Z74" s="4">
        <f t="shared" si="11"/>
        <v>1.5069470541342</v>
      </c>
      <c r="AA74" s="4">
        <f t="shared" si="11"/>
        <v>1.34861535011855</v>
      </c>
      <c r="AB74" s="4">
        <f t="shared" si="11"/>
        <v>1.11741742834055</v>
      </c>
      <c r="AC74" s="4">
        <f t="shared" si="11"/>
        <v>0.928059195591627</v>
      </c>
      <c r="AD74" s="4">
        <f t="shared" si="11"/>
        <v>0.896740871346092</v>
      </c>
      <c r="AE74" s="4">
        <f t="shared" si="11"/>
        <v>0.769021036099108</v>
      </c>
      <c r="AF74" s="4">
        <f t="shared" si="11"/>
        <v>0.694532363944752</v>
      </c>
      <c r="AG74" s="4">
        <f t="shared" si="11"/>
        <v>0.638671194385839</v>
      </c>
      <c r="AH74" s="4">
        <f t="shared" si="8"/>
        <v>0.429346396078909</v>
      </c>
      <c r="AI74" s="4">
        <f t="shared" si="8"/>
        <v>0.311225713050499</v>
      </c>
      <c r="AJ74" s="4">
        <f t="shared" si="8"/>
        <v>0.254907408174699</v>
      </c>
    </row>
    <row r="75" spans="1:36">
      <c r="A75" t="str">
        <f>"semis_procurement_archetype_"&amp;TEXT(ROUND(Table26916[[#This Row],[2016]],3),"0.0")</f>
        <v>semis_procurement_archetype_13.0</v>
      </c>
      <c r="B75" s="4">
        <f t="shared" si="13"/>
        <v>13</v>
      </c>
      <c r="C75" s="4">
        <f t="shared" si="12"/>
        <v>13</v>
      </c>
      <c r="D75" s="4">
        <f t="shared" si="12"/>
        <v>13</v>
      </c>
      <c r="E75" s="4">
        <f t="shared" si="12"/>
        <v>12.6910910579255</v>
      </c>
      <c r="F75" s="4">
        <f t="shared" si="12"/>
        <v>11.9442856745063</v>
      </c>
      <c r="G75" s="4">
        <f t="shared" si="12"/>
        <v>12.0486908925584</v>
      </c>
      <c r="H75" s="4">
        <f t="shared" si="12"/>
        <v>11.7245325073565</v>
      </c>
      <c r="I75" s="4">
        <f t="shared" si="12"/>
        <v>11.0974705015091</v>
      </c>
      <c r="J75" s="4">
        <f t="shared" si="12"/>
        <v>10.7452185352981</v>
      </c>
      <c r="K75" s="4">
        <f t="shared" si="12"/>
        <v>10.3836244449985</v>
      </c>
      <c r="L75" s="4">
        <f t="shared" si="12"/>
        <v>9.81244426060635</v>
      </c>
      <c r="M75" s="4">
        <f t="shared" si="12"/>
        <v>9.74312074198201</v>
      </c>
      <c r="N75" s="4">
        <f t="shared" si="12"/>
        <v>9.27510883519057</v>
      </c>
      <c r="O75" s="4">
        <f t="shared" si="12"/>
        <v>8.78981940559374</v>
      </c>
      <c r="P75" s="4">
        <f t="shared" si="12"/>
        <v>8.21610686113188</v>
      </c>
      <c r="Q75" s="4">
        <f t="shared" si="12"/>
        <v>7.09611106106871</v>
      </c>
      <c r="R75" s="4">
        <f t="shared" si="12"/>
        <v>5.58520116430834</v>
      </c>
      <c r="S75" s="4">
        <f t="shared" si="11"/>
        <v>5.10336902140894</v>
      </c>
      <c r="T75" s="4">
        <f t="shared" si="11"/>
        <v>4.05600157573417</v>
      </c>
      <c r="U75" s="4">
        <f t="shared" si="11"/>
        <v>3.00049723414854</v>
      </c>
      <c r="V75" s="4">
        <f t="shared" si="11"/>
        <v>2.79707274339092</v>
      </c>
      <c r="W75" s="4">
        <f t="shared" si="11"/>
        <v>2.18327325563593</v>
      </c>
      <c r="X75" s="4">
        <f t="shared" si="11"/>
        <v>1.87180468777738</v>
      </c>
      <c r="Y75" s="4">
        <f t="shared" si="11"/>
        <v>1.54782514605632</v>
      </c>
      <c r="Z75" s="4">
        <f t="shared" si="11"/>
        <v>1.49719983248508</v>
      </c>
      <c r="AA75" s="4">
        <f t="shared" si="11"/>
        <v>1.34010075254656</v>
      </c>
      <c r="AB75" s="4">
        <f t="shared" si="11"/>
        <v>1.11070272376368</v>
      </c>
      <c r="AC75" s="4">
        <f t="shared" si="11"/>
        <v>0.922818658922819</v>
      </c>
      <c r="AD75" s="4">
        <f t="shared" si="11"/>
        <v>0.891744150157956</v>
      </c>
      <c r="AE75" s="4">
        <f t="shared" si="11"/>
        <v>0.765018623315788</v>
      </c>
      <c r="AF75" s="4">
        <f t="shared" si="11"/>
        <v>0.6911098510074</v>
      </c>
      <c r="AG75" s="4">
        <f t="shared" si="11"/>
        <v>0.635683564803041</v>
      </c>
      <c r="AH75" s="4">
        <f t="shared" si="8"/>
        <v>0.427988375600215</v>
      </c>
      <c r="AI75" s="4">
        <f t="shared" si="8"/>
        <v>0.310787270863546</v>
      </c>
      <c r="AJ75" s="4">
        <f t="shared" si="8"/>
        <v>0.254907408174699</v>
      </c>
    </row>
    <row r="76" spans="1:36">
      <c r="A76" t="str">
        <f>"semis_procurement_archetype_"&amp;TEXT(ROUND(Table26916[[#This Row],[2016]],3),"0.0")</f>
        <v>semis_procurement_archetype_12.9</v>
      </c>
      <c r="B76" s="4">
        <f t="shared" si="13"/>
        <v>12.9</v>
      </c>
      <c r="C76" s="4">
        <f t="shared" si="12"/>
        <v>12.9</v>
      </c>
      <c r="D76" s="4">
        <f t="shared" si="12"/>
        <v>12.9</v>
      </c>
      <c r="E76" s="4">
        <f t="shared" si="12"/>
        <v>12.5935148060454</v>
      </c>
      <c r="F76" s="4">
        <f t="shared" si="12"/>
        <v>11.8525689750621</v>
      </c>
      <c r="G76" s="4">
        <f t="shared" si="12"/>
        <v>11.9561550133609</v>
      </c>
      <c r="H76" s="4">
        <f t="shared" si="12"/>
        <v>11.6345400258069</v>
      </c>
      <c r="I76" s="4">
        <f t="shared" si="12"/>
        <v>11.0123980470313</v>
      </c>
      <c r="J76" s="4">
        <f t="shared" si="12"/>
        <v>10.6629099051211</v>
      </c>
      <c r="K76" s="4">
        <f t="shared" si="12"/>
        <v>10.3041529388965</v>
      </c>
      <c r="L76" s="4">
        <f t="shared" si="12"/>
        <v>9.73745432402039</v>
      </c>
      <c r="M76" s="4">
        <f t="shared" si="12"/>
        <v>9.66867472862081</v>
      </c>
      <c r="N76" s="4">
        <f t="shared" si="12"/>
        <v>9.20433491682138</v>
      </c>
      <c r="O76" s="4">
        <f t="shared" si="12"/>
        <v>8.72285314437651</v>
      </c>
      <c r="P76" s="4">
        <f t="shared" si="12"/>
        <v>8.15364203872593</v>
      </c>
      <c r="Q76" s="4">
        <f t="shared" si="12"/>
        <v>7.04243390177305</v>
      </c>
      <c r="R76" s="4">
        <f t="shared" ref="R76:AG91" si="14">(($B76-$AJ$2)*((R$2-$AJ$2)/($B$2-$AJ$2)))+$AJ$2</f>
        <v>5.54337884157721</v>
      </c>
      <c r="S76" s="4">
        <f t="shared" si="14"/>
        <v>5.06532722941487</v>
      </c>
      <c r="T76" s="4">
        <f t="shared" si="14"/>
        <v>4.02617759336469</v>
      </c>
      <c r="U76" s="4">
        <f t="shared" si="14"/>
        <v>2.97895490476809</v>
      </c>
      <c r="V76" s="4">
        <f t="shared" si="14"/>
        <v>2.77712651454322</v>
      </c>
      <c r="W76" s="4">
        <f t="shared" si="14"/>
        <v>2.16814299405825</v>
      </c>
      <c r="X76" s="4">
        <f t="shared" si="14"/>
        <v>1.85911825754588</v>
      </c>
      <c r="Y76" s="4">
        <f t="shared" si="14"/>
        <v>1.53768071023863</v>
      </c>
      <c r="Z76" s="4">
        <f t="shared" si="14"/>
        <v>1.48745261083597</v>
      </c>
      <c r="AA76" s="4">
        <f t="shared" si="14"/>
        <v>1.33158615497456</v>
      </c>
      <c r="AB76" s="4">
        <f t="shared" si="14"/>
        <v>1.10398801918682</v>
      </c>
      <c r="AC76" s="4">
        <f t="shared" si="14"/>
        <v>0.917578122254012</v>
      </c>
      <c r="AD76" s="4">
        <f t="shared" si="14"/>
        <v>0.886747428969821</v>
      </c>
      <c r="AE76" s="4">
        <f t="shared" si="14"/>
        <v>0.761016210532469</v>
      </c>
      <c r="AF76" s="4">
        <f t="shared" si="14"/>
        <v>0.687687338070048</v>
      </c>
      <c r="AG76" s="4">
        <f t="shared" si="14"/>
        <v>0.632695935220243</v>
      </c>
      <c r="AH76" s="4">
        <f t="shared" si="8"/>
        <v>0.426630355121521</v>
      </c>
      <c r="AI76" s="4">
        <f t="shared" si="8"/>
        <v>0.310348828676592</v>
      </c>
      <c r="AJ76" s="4">
        <f t="shared" si="8"/>
        <v>0.254907408174699</v>
      </c>
    </row>
    <row r="77" spans="1:36">
      <c r="A77" t="str">
        <f>"semis_procurement_archetype_"&amp;TEXT(ROUND(Table26916[[#This Row],[2016]],3),"0.0")</f>
        <v>semis_procurement_archetype_12.8</v>
      </c>
      <c r="B77" s="4">
        <f t="shared" si="13"/>
        <v>12.8</v>
      </c>
      <c r="C77" s="4">
        <f t="shared" ref="C77:R92" si="15">(($B77-$AJ$2)*((C$2-$AJ$2)/($B$2-$AJ$2)))+$AJ$2</f>
        <v>12.8</v>
      </c>
      <c r="D77" s="4">
        <f t="shared" si="15"/>
        <v>12.8</v>
      </c>
      <c r="E77" s="4">
        <f t="shared" si="15"/>
        <v>12.4959385541653</v>
      </c>
      <c r="F77" s="4">
        <f t="shared" si="15"/>
        <v>11.7608522756179</v>
      </c>
      <c r="G77" s="4">
        <f t="shared" si="15"/>
        <v>11.8636191341633</v>
      </c>
      <c r="H77" s="4">
        <f t="shared" si="15"/>
        <v>11.5445475442573</v>
      </c>
      <c r="I77" s="4">
        <f t="shared" si="15"/>
        <v>10.9273255925535</v>
      </c>
      <c r="J77" s="4">
        <f t="shared" si="15"/>
        <v>10.5806012749441</v>
      </c>
      <c r="K77" s="4">
        <f t="shared" si="15"/>
        <v>10.2246814327944</v>
      </c>
      <c r="L77" s="4">
        <f t="shared" si="15"/>
        <v>9.66246438743443</v>
      </c>
      <c r="M77" s="4">
        <f t="shared" si="15"/>
        <v>9.59422871525962</v>
      </c>
      <c r="N77" s="4">
        <f t="shared" si="15"/>
        <v>9.13356099845219</v>
      </c>
      <c r="O77" s="4">
        <f t="shared" si="15"/>
        <v>8.65588688315929</v>
      </c>
      <c r="P77" s="4">
        <f t="shared" si="15"/>
        <v>8.09117721631999</v>
      </c>
      <c r="Q77" s="4">
        <f t="shared" si="15"/>
        <v>6.98875674247738</v>
      </c>
      <c r="R77" s="4">
        <f t="shared" si="15"/>
        <v>5.50155651884609</v>
      </c>
      <c r="S77" s="4">
        <f t="shared" si="14"/>
        <v>5.0272854374208</v>
      </c>
      <c r="T77" s="4">
        <f t="shared" si="14"/>
        <v>3.99635361099522</v>
      </c>
      <c r="U77" s="4">
        <f t="shared" si="14"/>
        <v>2.95741257538764</v>
      </c>
      <c r="V77" s="4">
        <f t="shared" si="14"/>
        <v>2.75718028569553</v>
      </c>
      <c r="W77" s="4">
        <f t="shared" si="14"/>
        <v>2.15301273248057</v>
      </c>
      <c r="X77" s="4">
        <f t="shared" si="14"/>
        <v>1.84643182731437</v>
      </c>
      <c r="Y77" s="4">
        <f t="shared" si="14"/>
        <v>1.52753627442095</v>
      </c>
      <c r="Z77" s="4">
        <f t="shared" si="14"/>
        <v>1.47770538918685</v>
      </c>
      <c r="AA77" s="4">
        <f t="shared" si="14"/>
        <v>1.32307155740257</v>
      </c>
      <c r="AB77" s="4">
        <f t="shared" si="14"/>
        <v>1.09727331460995</v>
      </c>
      <c r="AC77" s="4">
        <f t="shared" si="14"/>
        <v>0.912337585585204</v>
      </c>
      <c r="AD77" s="4">
        <f t="shared" si="14"/>
        <v>0.881750707781685</v>
      </c>
      <c r="AE77" s="4">
        <f t="shared" si="14"/>
        <v>0.75701379774915</v>
      </c>
      <c r="AF77" s="4">
        <f t="shared" si="14"/>
        <v>0.684264825132696</v>
      </c>
      <c r="AG77" s="4">
        <f t="shared" si="14"/>
        <v>0.629708305637446</v>
      </c>
      <c r="AH77" s="4">
        <f t="shared" si="8"/>
        <v>0.425272334642826</v>
      </c>
      <c r="AI77" s="4">
        <f t="shared" si="8"/>
        <v>0.309910386489639</v>
      </c>
      <c r="AJ77" s="4">
        <f t="shared" si="8"/>
        <v>0.254907408174699</v>
      </c>
    </row>
    <row r="78" spans="1:36">
      <c r="A78" t="str">
        <f>"semis_procurement_archetype_"&amp;TEXT(ROUND(Table26916[[#This Row],[2016]],3),"0.0")</f>
        <v>semis_procurement_archetype_12.7</v>
      </c>
      <c r="B78" s="4">
        <f t="shared" si="13"/>
        <v>12.7</v>
      </c>
      <c r="C78" s="4">
        <f t="shared" si="15"/>
        <v>12.7</v>
      </c>
      <c r="D78" s="4">
        <f t="shared" si="15"/>
        <v>12.7</v>
      </c>
      <c r="E78" s="4">
        <f t="shared" si="15"/>
        <v>12.3983623022852</v>
      </c>
      <c r="F78" s="4">
        <f t="shared" si="15"/>
        <v>11.6691355761736</v>
      </c>
      <c r="G78" s="4">
        <f t="shared" si="15"/>
        <v>11.7710832549658</v>
      </c>
      <c r="H78" s="4">
        <f t="shared" si="15"/>
        <v>11.4545550627076</v>
      </c>
      <c r="I78" s="4">
        <f t="shared" si="15"/>
        <v>10.8422531380757</v>
      </c>
      <c r="J78" s="4">
        <f t="shared" si="15"/>
        <v>10.4982926447671</v>
      </c>
      <c r="K78" s="4">
        <f t="shared" si="15"/>
        <v>10.1452099266924</v>
      </c>
      <c r="L78" s="4">
        <f t="shared" si="15"/>
        <v>9.58747445084848</v>
      </c>
      <c r="M78" s="4">
        <f t="shared" si="15"/>
        <v>9.51978270189842</v>
      </c>
      <c r="N78" s="4">
        <f t="shared" si="15"/>
        <v>9.062787080083</v>
      </c>
      <c r="O78" s="4">
        <f t="shared" si="15"/>
        <v>8.58892062194206</v>
      </c>
      <c r="P78" s="4">
        <f t="shared" si="15"/>
        <v>8.02871239391404</v>
      </c>
      <c r="Q78" s="4">
        <f t="shared" si="15"/>
        <v>6.93507958318172</v>
      </c>
      <c r="R78" s="4">
        <f t="shared" si="15"/>
        <v>5.45973419611497</v>
      </c>
      <c r="S78" s="4">
        <f t="shared" si="14"/>
        <v>4.98924364542672</v>
      </c>
      <c r="T78" s="4">
        <f t="shared" si="14"/>
        <v>3.96652962862574</v>
      </c>
      <c r="U78" s="4">
        <f t="shared" si="14"/>
        <v>2.9358702460072</v>
      </c>
      <c r="V78" s="4">
        <f t="shared" si="14"/>
        <v>2.73723405684783</v>
      </c>
      <c r="W78" s="4">
        <f t="shared" si="14"/>
        <v>2.13788247090288</v>
      </c>
      <c r="X78" s="4">
        <f t="shared" si="14"/>
        <v>1.83374539708287</v>
      </c>
      <c r="Y78" s="4">
        <f t="shared" si="14"/>
        <v>1.51739183860327</v>
      </c>
      <c r="Z78" s="4">
        <f t="shared" si="14"/>
        <v>1.46795816753773</v>
      </c>
      <c r="AA78" s="4">
        <f t="shared" si="14"/>
        <v>1.31455695983058</v>
      </c>
      <c r="AB78" s="4">
        <f t="shared" si="14"/>
        <v>1.09055861003309</v>
      </c>
      <c r="AC78" s="4">
        <f t="shared" si="14"/>
        <v>0.907097048916396</v>
      </c>
      <c r="AD78" s="4">
        <f t="shared" si="14"/>
        <v>0.876753986593549</v>
      </c>
      <c r="AE78" s="4">
        <f t="shared" si="14"/>
        <v>0.753011384965831</v>
      </c>
      <c r="AF78" s="4">
        <f t="shared" si="14"/>
        <v>0.680842312195344</v>
      </c>
      <c r="AG78" s="4">
        <f t="shared" si="14"/>
        <v>0.626720676054648</v>
      </c>
      <c r="AH78" s="4">
        <f t="shared" si="8"/>
        <v>0.423914314164132</v>
      </c>
      <c r="AI78" s="4">
        <f t="shared" si="8"/>
        <v>0.309471944302685</v>
      </c>
      <c r="AJ78" s="4">
        <f t="shared" si="8"/>
        <v>0.254907408174699</v>
      </c>
    </row>
    <row r="79" spans="1:36">
      <c r="A79" t="str">
        <f>"semis_procurement_archetype_"&amp;TEXT(ROUND(Table26916[[#This Row],[2016]],3),"0.0")</f>
        <v>semis_procurement_archetype_12.6</v>
      </c>
      <c r="B79" s="4">
        <f t="shared" si="13"/>
        <v>12.6</v>
      </c>
      <c r="C79" s="4">
        <f t="shared" si="15"/>
        <v>12.6</v>
      </c>
      <c r="D79" s="4">
        <f t="shared" si="15"/>
        <v>12.6</v>
      </c>
      <c r="E79" s="4">
        <f t="shared" si="15"/>
        <v>12.3007860504051</v>
      </c>
      <c r="F79" s="4">
        <f t="shared" si="15"/>
        <v>11.5774188767294</v>
      </c>
      <c r="G79" s="4">
        <f t="shared" si="15"/>
        <v>11.6785473757683</v>
      </c>
      <c r="H79" s="4">
        <f t="shared" si="15"/>
        <v>11.364562581158</v>
      </c>
      <c r="I79" s="4">
        <f t="shared" si="15"/>
        <v>10.7571806835979</v>
      </c>
      <c r="J79" s="4">
        <f t="shared" si="15"/>
        <v>10.4159840145901</v>
      </c>
      <c r="K79" s="4">
        <f t="shared" si="15"/>
        <v>10.0657384205903</v>
      </c>
      <c r="L79" s="4">
        <f t="shared" si="15"/>
        <v>9.51248451426252</v>
      </c>
      <c r="M79" s="4">
        <f t="shared" si="15"/>
        <v>9.44533668853722</v>
      </c>
      <c r="N79" s="4">
        <f t="shared" si="15"/>
        <v>8.99201316171381</v>
      </c>
      <c r="O79" s="4">
        <f t="shared" si="15"/>
        <v>8.52195436072484</v>
      </c>
      <c r="P79" s="4">
        <f t="shared" si="15"/>
        <v>7.96624757150809</v>
      </c>
      <c r="Q79" s="4">
        <f t="shared" si="15"/>
        <v>6.88140242388606</v>
      </c>
      <c r="R79" s="4">
        <f t="shared" si="15"/>
        <v>5.41791187338385</v>
      </c>
      <c r="S79" s="4">
        <f t="shared" si="14"/>
        <v>4.95120185343265</v>
      </c>
      <c r="T79" s="4">
        <f t="shared" si="14"/>
        <v>3.93670564625626</v>
      </c>
      <c r="U79" s="4">
        <f t="shared" si="14"/>
        <v>2.91432791662675</v>
      </c>
      <c r="V79" s="4">
        <f t="shared" si="14"/>
        <v>2.71728782800014</v>
      </c>
      <c r="W79" s="4">
        <f t="shared" si="14"/>
        <v>2.1227522093252</v>
      </c>
      <c r="X79" s="4">
        <f t="shared" si="14"/>
        <v>1.82105896685136</v>
      </c>
      <c r="Y79" s="4">
        <f t="shared" si="14"/>
        <v>1.50724740278559</v>
      </c>
      <c r="Z79" s="4">
        <f t="shared" si="14"/>
        <v>1.45821094588862</v>
      </c>
      <c r="AA79" s="4">
        <f t="shared" si="14"/>
        <v>1.30604236225858</v>
      </c>
      <c r="AB79" s="4">
        <f t="shared" si="14"/>
        <v>1.08384390545622</v>
      </c>
      <c r="AC79" s="4">
        <f t="shared" si="14"/>
        <v>0.901856512247588</v>
      </c>
      <c r="AD79" s="4">
        <f t="shared" si="14"/>
        <v>0.871757265405413</v>
      </c>
      <c r="AE79" s="4">
        <f t="shared" si="14"/>
        <v>0.749008972182511</v>
      </c>
      <c r="AF79" s="4">
        <f t="shared" si="14"/>
        <v>0.677419799257992</v>
      </c>
      <c r="AG79" s="4">
        <f t="shared" si="14"/>
        <v>0.62373304647185</v>
      </c>
      <c r="AH79" s="4">
        <f t="shared" si="8"/>
        <v>0.422556293685438</v>
      </c>
      <c r="AI79" s="4">
        <f t="shared" si="8"/>
        <v>0.309033502115732</v>
      </c>
      <c r="AJ79" s="4">
        <f t="shared" si="8"/>
        <v>0.254907408174699</v>
      </c>
    </row>
    <row r="80" spans="1:36">
      <c r="A80" t="str">
        <f>"semis_procurement_archetype_"&amp;TEXT(ROUND(Table26916[[#This Row],[2016]],3),"0.0")</f>
        <v>semis_procurement_archetype_12.5</v>
      </c>
      <c r="B80" s="4">
        <f t="shared" si="13"/>
        <v>12.5</v>
      </c>
      <c r="C80" s="4">
        <f t="shared" si="15"/>
        <v>12.5</v>
      </c>
      <c r="D80" s="4">
        <f t="shared" si="15"/>
        <v>12.5</v>
      </c>
      <c r="E80" s="4">
        <f t="shared" si="15"/>
        <v>12.203209798525</v>
      </c>
      <c r="F80" s="4">
        <f t="shared" si="15"/>
        <v>11.4857021772852</v>
      </c>
      <c r="G80" s="4">
        <f t="shared" si="15"/>
        <v>11.5860114965708</v>
      </c>
      <c r="H80" s="4">
        <f t="shared" si="15"/>
        <v>11.2745700996084</v>
      </c>
      <c r="I80" s="4">
        <f t="shared" si="15"/>
        <v>10.6721082291201</v>
      </c>
      <c r="J80" s="4">
        <f t="shared" si="15"/>
        <v>10.333675384413</v>
      </c>
      <c r="K80" s="4">
        <f t="shared" si="15"/>
        <v>9.9862669144883</v>
      </c>
      <c r="L80" s="4">
        <f t="shared" si="15"/>
        <v>9.43749457767655</v>
      </c>
      <c r="M80" s="4">
        <f t="shared" si="15"/>
        <v>9.37089067517602</v>
      </c>
      <c r="N80" s="4">
        <f t="shared" si="15"/>
        <v>8.92123924334462</v>
      </c>
      <c r="O80" s="4">
        <f t="shared" si="15"/>
        <v>8.45498809950761</v>
      </c>
      <c r="P80" s="4">
        <f t="shared" si="15"/>
        <v>7.90378274910215</v>
      </c>
      <c r="Q80" s="4">
        <f t="shared" si="15"/>
        <v>6.82772526459039</v>
      </c>
      <c r="R80" s="4">
        <f t="shared" si="15"/>
        <v>5.37608955065272</v>
      </c>
      <c r="S80" s="4">
        <f t="shared" si="14"/>
        <v>4.91316006143858</v>
      </c>
      <c r="T80" s="4">
        <f t="shared" si="14"/>
        <v>3.90688166388679</v>
      </c>
      <c r="U80" s="4">
        <f t="shared" si="14"/>
        <v>2.89278558724631</v>
      </c>
      <c r="V80" s="4">
        <f t="shared" si="14"/>
        <v>2.69734159915244</v>
      </c>
      <c r="W80" s="4">
        <f t="shared" si="14"/>
        <v>2.10762194774751</v>
      </c>
      <c r="X80" s="4">
        <f t="shared" si="14"/>
        <v>1.80837253661986</v>
      </c>
      <c r="Y80" s="4">
        <f t="shared" si="14"/>
        <v>1.49710296696791</v>
      </c>
      <c r="Z80" s="4">
        <f t="shared" si="14"/>
        <v>1.4484637242395</v>
      </c>
      <c r="AA80" s="4">
        <f t="shared" si="14"/>
        <v>1.29752776468659</v>
      </c>
      <c r="AB80" s="4">
        <f t="shared" si="14"/>
        <v>1.07712920087936</v>
      </c>
      <c r="AC80" s="4">
        <f t="shared" si="14"/>
        <v>0.89661597557878</v>
      </c>
      <c r="AD80" s="4">
        <f t="shared" si="14"/>
        <v>0.866760544217278</v>
      </c>
      <c r="AE80" s="4">
        <f t="shared" si="14"/>
        <v>0.745006559399192</v>
      </c>
      <c r="AF80" s="4">
        <f t="shared" si="14"/>
        <v>0.67399728632064</v>
      </c>
      <c r="AG80" s="4">
        <f t="shared" si="14"/>
        <v>0.620745416889052</v>
      </c>
      <c r="AH80" s="4">
        <f t="shared" si="8"/>
        <v>0.421198273206744</v>
      </c>
      <c r="AI80" s="4">
        <f t="shared" si="8"/>
        <v>0.308595059928778</v>
      </c>
      <c r="AJ80" s="4">
        <f t="shared" si="8"/>
        <v>0.254907408174699</v>
      </c>
    </row>
    <row r="81" spans="1:36">
      <c r="A81" t="str">
        <f>"semis_procurement_archetype_"&amp;TEXT(ROUND(Table26916[[#This Row],[2016]],3),"0.0")</f>
        <v>semis_procurement_archetype_12.4</v>
      </c>
      <c r="B81" s="4">
        <f t="shared" si="13"/>
        <v>12.4</v>
      </c>
      <c r="C81" s="4">
        <f t="shared" si="15"/>
        <v>12.4</v>
      </c>
      <c r="D81" s="4">
        <f t="shared" si="15"/>
        <v>12.4</v>
      </c>
      <c r="E81" s="4">
        <f t="shared" si="15"/>
        <v>12.1056335466449</v>
      </c>
      <c r="F81" s="4">
        <f t="shared" si="15"/>
        <v>11.393985477841</v>
      </c>
      <c r="G81" s="4">
        <f t="shared" si="15"/>
        <v>11.4934756173732</v>
      </c>
      <c r="H81" s="4">
        <f t="shared" si="15"/>
        <v>11.1845776180587</v>
      </c>
      <c r="I81" s="4">
        <f t="shared" si="15"/>
        <v>10.5870357746423</v>
      </c>
      <c r="J81" s="4">
        <f t="shared" si="15"/>
        <v>10.251366754236</v>
      </c>
      <c r="K81" s="4">
        <f t="shared" si="15"/>
        <v>9.90679540838625</v>
      </c>
      <c r="L81" s="4">
        <f t="shared" si="15"/>
        <v>9.3625046410906</v>
      </c>
      <c r="M81" s="4">
        <f t="shared" si="15"/>
        <v>9.29644466181482</v>
      </c>
      <c r="N81" s="4">
        <f t="shared" si="15"/>
        <v>8.85046532497544</v>
      </c>
      <c r="O81" s="4">
        <f t="shared" si="15"/>
        <v>8.38802183829038</v>
      </c>
      <c r="P81" s="4">
        <f t="shared" si="15"/>
        <v>7.8413179266962</v>
      </c>
      <c r="Q81" s="4">
        <f t="shared" si="15"/>
        <v>6.77404810529473</v>
      </c>
      <c r="R81" s="4">
        <f t="shared" si="15"/>
        <v>5.3342672279216</v>
      </c>
      <c r="S81" s="4">
        <f t="shared" si="14"/>
        <v>4.8751182694445</v>
      </c>
      <c r="T81" s="4">
        <f t="shared" si="14"/>
        <v>3.87705768151731</v>
      </c>
      <c r="U81" s="4">
        <f t="shared" si="14"/>
        <v>2.87124325786586</v>
      </c>
      <c r="V81" s="4">
        <f t="shared" si="14"/>
        <v>2.67739537030474</v>
      </c>
      <c r="W81" s="4">
        <f t="shared" si="14"/>
        <v>2.09249168616983</v>
      </c>
      <c r="X81" s="4">
        <f t="shared" si="14"/>
        <v>1.79568610638835</v>
      </c>
      <c r="Y81" s="4">
        <f t="shared" si="14"/>
        <v>1.48695853115023</v>
      </c>
      <c r="Z81" s="4">
        <f t="shared" si="14"/>
        <v>1.43871650259038</v>
      </c>
      <c r="AA81" s="4">
        <f t="shared" si="14"/>
        <v>1.2890131671146</v>
      </c>
      <c r="AB81" s="4">
        <f t="shared" si="14"/>
        <v>1.07041449630249</v>
      </c>
      <c r="AC81" s="4">
        <f t="shared" si="14"/>
        <v>0.891375438909972</v>
      </c>
      <c r="AD81" s="4">
        <f t="shared" si="14"/>
        <v>0.861763823029142</v>
      </c>
      <c r="AE81" s="4">
        <f t="shared" si="14"/>
        <v>0.741004146615873</v>
      </c>
      <c r="AF81" s="4">
        <f t="shared" si="14"/>
        <v>0.670574773383288</v>
      </c>
      <c r="AG81" s="4">
        <f t="shared" si="14"/>
        <v>0.617757787306254</v>
      </c>
      <c r="AH81" s="4">
        <f t="shared" si="8"/>
        <v>0.41984025272805</v>
      </c>
      <c r="AI81" s="4">
        <f t="shared" si="8"/>
        <v>0.308156617741825</v>
      </c>
      <c r="AJ81" s="4">
        <f t="shared" si="8"/>
        <v>0.254907408174699</v>
      </c>
    </row>
    <row r="82" spans="1:36">
      <c r="A82" t="str">
        <f>"semis_procurement_archetype_"&amp;TEXT(ROUND(Table26916[[#This Row],[2016]],3),"0.0")</f>
        <v>semis_procurement_archetype_12.3</v>
      </c>
      <c r="B82" s="4">
        <f t="shared" si="13"/>
        <v>12.3</v>
      </c>
      <c r="C82" s="4">
        <f t="shared" si="15"/>
        <v>12.3</v>
      </c>
      <c r="D82" s="4">
        <f t="shared" si="15"/>
        <v>12.3</v>
      </c>
      <c r="E82" s="4">
        <f t="shared" si="15"/>
        <v>12.0080572947648</v>
      </c>
      <c r="F82" s="4">
        <f t="shared" si="15"/>
        <v>11.3022687783968</v>
      </c>
      <c r="G82" s="4">
        <f t="shared" si="15"/>
        <v>11.4009397381757</v>
      </c>
      <c r="H82" s="4">
        <f t="shared" si="15"/>
        <v>11.0945851365091</v>
      </c>
      <c r="I82" s="4">
        <f t="shared" si="15"/>
        <v>10.5019633201645</v>
      </c>
      <c r="J82" s="4">
        <f t="shared" si="15"/>
        <v>10.169058124059</v>
      </c>
      <c r="K82" s="4">
        <f t="shared" si="15"/>
        <v>9.82732390228421</v>
      </c>
      <c r="L82" s="4">
        <f t="shared" si="15"/>
        <v>9.28751470450464</v>
      </c>
      <c r="M82" s="4">
        <f t="shared" si="15"/>
        <v>9.22199864845363</v>
      </c>
      <c r="N82" s="4">
        <f t="shared" si="15"/>
        <v>8.77969140660625</v>
      </c>
      <c r="O82" s="4">
        <f t="shared" si="15"/>
        <v>8.32105557707316</v>
      </c>
      <c r="P82" s="4">
        <f t="shared" si="15"/>
        <v>7.77885310429025</v>
      </c>
      <c r="Q82" s="4">
        <f t="shared" si="15"/>
        <v>6.72037094599906</v>
      </c>
      <c r="R82" s="4">
        <f t="shared" si="15"/>
        <v>5.29244490519048</v>
      </c>
      <c r="S82" s="4">
        <f t="shared" si="14"/>
        <v>4.83707647745043</v>
      </c>
      <c r="T82" s="4">
        <f t="shared" si="14"/>
        <v>3.84723369914783</v>
      </c>
      <c r="U82" s="4">
        <f t="shared" si="14"/>
        <v>2.84970092848541</v>
      </c>
      <c r="V82" s="4">
        <f t="shared" si="14"/>
        <v>2.65744914145705</v>
      </c>
      <c r="W82" s="4">
        <f t="shared" si="14"/>
        <v>2.07736142459214</v>
      </c>
      <c r="X82" s="4">
        <f t="shared" si="14"/>
        <v>1.78299967615685</v>
      </c>
      <c r="Y82" s="4">
        <f t="shared" si="14"/>
        <v>1.47681409533255</v>
      </c>
      <c r="Z82" s="4">
        <f t="shared" si="14"/>
        <v>1.42896928094127</v>
      </c>
      <c r="AA82" s="4">
        <f t="shared" si="14"/>
        <v>1.2804985695426</v>
      </c>
      <c r="AB82" s="4">
        <f t="shared" si="14"/>
        <v>1.06369979172563</v>
      </c>
      <c r="AC82" s="4">
        <f t="shared" si="14"/>
        <v>0.886134902241164</v>
      </c>
      <c r="AD82" s="4">
        <f t="shared" si="14"/>
        <v>0.856767101841006</v>
      </c>
      <c r="AE82" s="4">
        <f t="shared" si="14"/>
        <v>0.737001733832554</v>
      </c>
      <c r="AF82" s="4">
        <f t="shared" si="14"/>
        <v>0.667152260445937</v>
      </c>
      <c r="AG82" s="4">
        <f t="shared" si="14"/>
        <v>0.614770157723457</v>
      </c>
      <c r="AH82" s="4">
        <f t="shared" si="8"/>
        <v>0.418482232249356</v>
      </c>
      <c r="AI82" s="4">
        <f t="shared" ref="AI82:AJ82" si="16">(($B82-$AJ$2)*((AI$2-$AJ$2)/($B$2-$AJ$2)))+$AJ$2</f>
        <v>0.307718175554871</v>
      </c>
      <c r="AJ82" s="4">
        <f t="shared" si="16"/>
        <v>0.254907408174699</v>
      </c>
    </row>
    <row r="83" spans="1:36">
      <c r="A83" t="str">
        <f>"semis_procurement_archetype_"&amp;TEXT(ROUND(Table26916[[#This Row],[2016]],3),"0.0")</f>
        <v>semis_procurement_archetype_12.2</v>
      </c>
      <c r="B83" s="4">
        <f t="shared" si="13"/>
        <v>12.2</v>
      </c>
      <c r="C83" s="4">
        <f t="shared" si="15"/>
        <v>12.2</v>
      </c>
      <c r="D83" s="4">
        <f t="shared" si="15"/>
        <v>12.2</v>
      </c>
      <c r="E83" s="4">
        <f t="shared" si="15"/>
        <v>11.9104810428847</v>
      </c>
      <c r="F83" s="4">
        <f t="shared" si="15"/>
        <v>11.2105520789526</v>
      </c>
      <c r="G83" s="4">
        <f t="shared" si="15"/>
        <v>11.3084038589782</v>
      </c>
      <c r="H83" s="4">
        <f t="shared" si="15"/>
        <v>11.0045926549595</v>
      </c>
      <c r="I83" s="4">
        <f t="shared" si="15"/>
        <v>10.4168908656867</v>
      </c>
      <c r="J83" s="4">
        <f t="shared" si="15"/>
        <v>10.086749493882</v>
      </c>
      <c r="K83" s="4">
        <f t="shared" si="15"/>
        <v>9.74785239618216</v>
      </c>
      <c r="L83" s="4">
        <f t="shared" si="15"/>
        <v>9.21252476791868</v>
      </c>
      <c r="M83" s="4">
        <f t="shared" si="15"/>
        <v>9.14755263509243</v>
      </c>
      <c r="N83" s="4">
        <f t="shared" si="15"/>
        <v>8.70891748823706</v>
      </c>
      <c r="O83" s="4">
        <f t="shared" si="15"/>
        <v>8.25408931585593</v>
      </c>
      <c r="P83" s="4">
        <f t="shared" si="15"/>
        <v>7.7163882818843</v>
      </c>
      <c r="Q83" s="4">
        <f t="shared" si="15"/>
        <v>6.6666937867034</v>
      </c>
      <c r="R83" s="4">
        <f t="shared" si="15"/>
        <v>5.25062258245935</v>
      </c>
      <c r="S83" s="4">
        <f t="shared" si="14"/>
        <v>4.79903468545636</v>
      </c>
      <c r="T83" s="4">
        <f t="shared" si="14"/>
        <v>3.81740971677836</v>
      </c>
      <c r="U83" s="4">
        <f t="shared" si="14"/>
        <v>2.82815859910497</v>
      </c>
      <c r="V83" s="4">
        <f t="shared" si="14"/>
        <v>2.63750291260935</v>
      </c>
      <c r="W83" s="4">
        <f t="shared" si="14"/>
        <v>2.06223116301446</v>
      </c>
      <c r="X83" s="4">
        <f t="shared" si="14"/>
        <v>1.77031324592534</v>
      </c>
      <c r="Y83" s="4">
        <f t="shared" si="14"/>
        <v>1.46666965951487</v>
      </c>
      <c r="Z83" s="4">
        <f t="shared" si="14"/>
        <v>1.41922205929215</v>
      </c>
      <c r="AA83" s="4">
        <f t="shared" si="14"/>
        <v>1.27198397197061</v>
      </c>
      <c r="AB83" s="4">
        <f t="shared" si="14"/>
        <v>1.05698508714876</v>
      </c>
      <c r="AC83" s="4">
        <f t="shared" si="14"/>
        <v>0.880894365572357</v>
      </c>
      <c r="AD83" s="4">
        <f t="shared" si="14"/>
        <v>0.85177038065287</v>
      </c>
      <c r="AE83" s="4">
        <f t="shared" si="14"/>
        <v>0.732999321049234</v>
      </c>
      <c r="AF83" s="4">
        <f t="shared" si="14"/>
        <v>0.663729747508585</v>
      </c>
      <c r="AG83" s="4">
        <f t="shared" si="14"/>
        <v>0.611782528140659</v>
      </c>
      <c r="AH83" s="4">
        <f t="shared" ref="AH83:AJ146" si="17">(($B83-$AJ$2)*((AH$2-$AJ$2)/($B$2-$AJ$2)))+$AJ$2</f>
        <v>0.417124211770662</v>
      </c>
      <c r="AI83" s="4">
        <f t="shared" si="17"/>
        <v>0.307279733367918</v>
      </c>
      <c r="AJ83" s="4">
        <f t="shared" si="17"/>
        <v>0.254907408174699</v>
      </c>
    </row>
    <row r="84" spans="1:36">
      <c r="A84" t="str">
        <f>"semis_procurement_archetype_"&amp;TEXT(ROUND(Table26916[[#This Row],[2016]],3),"0.0")</f>
        <v>semis_procurement_archetype_12.1</v>
      </c>
      <c r="B84" s="4">
        <f t="shared" si="13"/>
        <v>12.1</v>
      </c>
      <c r="C84" s="4">
        <f t="shared" si="15"/>
        <v>12.1</v>
      </c>
      <c r="D84" s="4">
        <f t="shared" si="15"/>
        <v>12.1</v>
      </c>
      <c r="E84" s="4">
        <f t="shared" si="15"/>
        <v>11.8129047910046</v>
      </c>
      <c r="F84" s="4">
        <f t="shared" si="15"/>
        <v>11.1188353795083</v>
      </c>
      <c r="G84" s="4">
        <f t="shared" si="15"/>
        <v>11.2158679797807</v>
      </c>
      <c r="H84" s="4">
        <f t="shared" si="15"/>
        <v>10.9146001734098</v>
      </c>
      <c r="I84" s="4">
        <f t="shared" si="15"/>
        <v>10.3318184112089</v>
      </c>
      <c r="J84" s="4">
        <f t="shared" si="15"/>
        <v>10.004440863705</v>
      </c>
      <c r="K84" s="4">
        <f t="shared" si="15"/>
        <v>9.66838089008012</v>
      </c>
      <c r="L84" s="4">
        <f t="shared" si="15"/>
        <v>9.13753483133272</v>
      </c>
      <c r="M84" s="4">
        <f t="shared" si="15"/>
        <v>9.07310662173123</v>
      </c>
      <c r="N84" s="4">
        <f t="shared" si="15"/>
        <v>8.63814356986787</v>
      </c>
      <c r="O84" s="4">
        <f t="shared" si="15"/>
        <v>8.18712305463871</v>
      </c>
      <c r="P84" s="4">
        <f t="shared" si="15"/>
        <v>7.65392345947836</v>
      </c>
      <c r="Q84" s="4">
        <f t="shared" si="15"/>
        <v>6.61301662740773</v>
      </c>
      <c r="R84" s="4">
        <f t="shared" si="15"/>
        <v>5.20880025972823</v>
      </c>
      <c r="S84" s="4">
        <f t="shared" si="14"/>
        <v>4.76099289346228</v>
      </c>
      <c r="T84" s="4">
        <f t="shared" si="14"/>
        <v>3.78758573440888</v>
      </c>
      <c r="U84" s="4">
        <f t="shared" si="14"/>
        <v>2.80661626972452</v>
      </c>
      <c r="V84" s="4">
        <f t="shared" si="14"/>
        <v>2.61755668376166</v>
      </c>
      <c r="W84" s="4">
        <f t="shared" si="14"/>
        <v>2.04710090143678</v>
      </c>
      <c r="X84" s="4">
        <f t="shared" si="14"/>
        <v>1.75762681569384</v>
      </c>
      <c r="Y84" s="4">
        <f t="shared" si="14"/>
        <v>1.45652522369719</v>
      </c>
      <c r="Z84" s="4">
        <f t="shared" si="14"/>
        <v>1.40947483764303</v>
      </c>
      <c r="AA84" s="4">
        <f t="shared" si="14"/>
        <v>1.26346937439862</v>
      </c>
      <c r="AB84" s="4">
        <f t="shared" si="14"/>
        <v>1.0502703825719</v>
      </c>
      <c r="AC84" s="4">
        <f t="shared" si="14"/>
        <v>0.875653828903549</v>
      </c>
      <c r="AD84" s="4">
        <f t="shared" si="14"/>
        <v>0.846773659464735</v>
      </c>
      <c r="AE84" s="4">
        <f t="shared" si="14"/>
        <v>0.728996908265915</v>
      </c>
      <c r="AF84" s="4">
        <f t="shared" si="14"/>
        <v>0.660307234571233</v>
      </c>
      <c r="AG84" s="4">
        <f t="shared" si="14"/>
        <v>0.608794898557861</v>
      </c>
      <c r="AH84" s="4">
        <f t="shared" si="17"/>
        <v>0.415766191291968</v>
      </c>
      <c r="AI84" s="4">
        <f t="shared" si="17"/>
        <v>0.306841291180964</v>
      </c>
      <c r="AJ84" s="4">
        <f t="shared" si="17"/>
        <v>0.254907408174699</v>
      </c>
    </row>
    <row r="85" spans="1:36">
      <c r="A85" t="str">
        <f>"semis_procurement_archetype_"&amp;TEXT(ROUND(Table26916[[#This Row],[2016]],3),"0.0")</f>
        <v>semis_procurement_archetype_12.0</v>
      </c>
      <c r="B85" s="4">
        <f t="shared" si="13"/>
        <v>12</v>
      </c>
      <c r="C85" s="4">
        <f t="shared" si="15"/>
        <v>12</v>
      </c>
      <c r="D85" s="4">
        <f t="shared" si="15"/>
        <v>12</v>
      </c>
      <c r="E85" s="4">
        <f t="shared" si="15"/>
        <v>11.7153285391245</v>
      </c>
      <c r="F85" s="4">
        <f t="shared" si="15"/>
        <v>11.0271186800641</v>
      </c>
      <c r="G85" s="4">
        <f t="shared" si="15"/>
        <v>11.1233321005832</v>
      </c>
      <c r="H85" s="4">
        <f t="shared" si="15"/>
        <v>10.8246076918602</v>
      </c>
      <c r="I85" s="4">
        <f t="shared" si="15"/>
        <v>10.2467459567311</v>
      </c>
      <c r="J85" s="4">
        <f t="shared" si="15"/>
        <v>9.92213223352798</v>
      </c>
      <c r="K85" s="4">
        <f t="shared" si="15"/>
        <v>9.58890938397807</v>
      </c>
      <c r="L85" s="4">
        <f t="shared" si="15"/>
        <v>9.06254489474676</v>
      </c>
      <c r="M85" s="4">
        <f t="shared" si="15"/>
        <v>8.99866060837003</v>
      </c>
      <c r="N85" s="4">
        <f t="shared" si="15"/>
        <v>8.56736965149869</v>
      </c>
      <c r="O85" s="4">
        <f t="shared" si="15"/>
        <v>8.12015679342148</v>
      </c>
      <c r="P85" s="4">
        <f t="shared" si="15"/>
        <v>7.59145863707241</v>
      </c>
      <c r="Q85" s="4">
        <f t="shared" si="15"/>
        <v>6.55933946811207</v>
      </c>
      <c r="R85" s="4">
        <f t="shared" si="15"/>
        <v>5.16697793699711</v>
      </c>
      <c r="S85" s="4">
        <f t="shared" si="14"/>
        <v>4.72295110146821</v>
      </c>
      <c r="T85" s="4">
        <f t="shared" si="14"/>
        <v>3.7577617520394</v>
      </c>
      <c r="U85" s="4">
        <f t="shared" si="14"/>
        <v>2.78507394034408</v>
      </c>
      <c r="V85" s="4">
        <f t="shared" si="14"/>
        <v>2.59761045491396</v>
      </c>
      <c r="W85" s="4">
        <f t="shared" si="14"/>
        <v>2.03197063985909</v>
      </c>
      <c r="X85" s="4">
        <f t="shared" si="14"/>
        <v>1.74494038546233</v>
      </c>
      <c r="Y85" s="4">
        <f t="shared" si="14"/>
        <v>1.44638078787951</v>
      </c>
      <c r="Z85" s="4">
        <f t="shared" si="14"/>
        <v>1.39972761599392</v>
      </c>
      <c r="AA85" s="4">
        <f t="shared" si="14"/>
        <v>1.25495477682662</v>
      </c>
      <c r="AB85" s="4">
        <f t="shared" si="14"/>
        <v>1.04355567799503</v>
      </c>
      <c r="AC85" s="4">
        <f t="shared" si="14"/>
        <v>0.870413292234741</v>
      </c>
      <c r="AD85" s="4">
        <f t="shared" si="14"/>
        <v>0.841776938276599</v>
      </c>
      <c r="AE85" s="4">
        <f t="shared" si="14"/>
        <v>0.724994495482596</v>
      </c>
      <c r="AF85" s="4">
        <f t="shared" si="14"/>
        <v>0.656884721633881</v>
      </c>
      <c r="AG85" s="4">
        <f t="shared" si="14"/>
        <v>0.605807268975063</v>
      </c>
      <c r="AH85" s="4">
        <f t="shared" si="17"/>
        <v>0.414408170813273</v>
      </c>
      <c r="AI85" s="4">
        <f t="shared" si="17"/>
        <v>0.306402848994011</v>
      </c>
      <c r="AJ85" s="4">
        <f t="shared" si="17"/>
        <v>0.254907408174699</v>
      </c>
    </row>
    <row r="86" spans="1:36">
      <c r="A86" t="str">
        <f>"semis_procurement_archetype_"&amp;TEXT(ROUND(Table26916[[#This Row],[2016]],3),"0.0")</f>
        <v>semis_procurement_archetype_11.9</v>
      </c>
      <c r="B86" s="4">
        <f t="shared" si="13"/>
        <v>11.9</v>
      </c>
      <c r="C86" s="4">
        <f t="shared" si="15"/>
        <v>11.9</v>
      </c>
      <c r="D86" s="4">
        <f t="shared" si="15"/>
        <v>11.9</v>
      </c>
      <c r="E86" s="4">
        <f t="shared" si="15"/>
        <v>11.6177522872444</v>
      </c>
      <c r="F86" s="4">
        <f t="shared" si="15"/>
        <v>10.9354019806199</v>
      </c>
      <c r="G86" s="4">
        <f t="shared" si="15"/>
        <v>11.0307962213856</v>
      </c>
      <c r="H86" s="4">
        <f t="shared" si="15"/>
        <v>10.7346152103106</v>
      </c>
      <c r="I86" s="4">
        <f t="shared" si="15"/>
        <v>10.1616735022533</v>
      </c>
      <c r="J86" s="4">
        <f t="shared" si="15"/>
        <v>9.83982360335097</v>
      </c>
      <c r="K86" s="4">
        <f t="shared" si="15"/>
        <v>9.50943787787602</v>
      </c>
      <c r="L86" s="4">
        <f t="shared" si="15"/>
        <v>8.9875549581608</v>
      </c>
      <c r="M86" s="4">
        <f t="shared" si="15"/>
        <v>8.92421459500883</v>
      </c>
      <c r="N86" s="4">
        <f t="shared" si="15"/>
        <v>8.4965957331295</v>
      </c>
      <c r="O86" s="4">
        <f t="shared" si="15"/>
        <v>8.05319053220425</v>
      </c>
      <c r="P86" s="4">
        <f t="shared" si="15"/>
        <v>7.52899381466646</v>
      </c>
      <c r="Q86" s="4">
        <f t="shared" si="15"/>
        <v>6.5056623088164</v>
      </c>
      <c r="R86" s="4">
        <f t="shared" si="15"/>
        <v>5.12515561426598</v>
      </c>
      <c r="S86" s="4">
        <f t="shared" si="14"/>
        <v>4.68490930947414</v>
      </c>
      <c r="T86" s="4">
        <f t="shared" si="14"/>
        <v>3.72793776966993</v>
      </c>
      <c r="U86" s="4">
        <f t="shared" si="14"/>
        <v>2.76353161096363</v>
      </c>
      <c r="V86" s="4">
        <f t="shared" si="14"/>
        <v>2.57766422606626</v>
      </c>
      <c r="W86" s="4">
        <f t="shared" si="14"/>
        <v>2.01684037828141</v>
      </c>
      <c r="X86" s="4">
        <f t="shared" si="14"/>
        <v>1.73225395523082</v>
      </c>
      <c r="Y86" s="4">
        <f t="shared" si="14"/>
        <v>1.43623635206183</v>
      </c>
      <c r="Z86" s="4">
        <f t="shared" si="14"/>
        <v>1.3899803943448</v>
      </c>
      <c r="AA86" s="4">
        <f t="shared" si="14"/>
        <v>1.24644017925463</v>
      </c>
      <c r="AB86" s="4">
        <f t="shared" si="14"/>
        <v>1.03684097341817</v>
      </c>
      <c r="AC86" s="4">
        <f t="shared" si="14"/>
        <v>0.865172755565933</v>
      </c>
      <c r="AD86" s="4">
        <f t="shared" si="14"/>
        <v>0.836780217088463</v>
      </c>
      <c r="AE86" s="4">
        <f t="shared" si="14"/>
        <v>0.720992082699277</v>
      </c>
      <c r="AF86" s="4">
        <f t="shared" si="14"/>
        <v>0.653462208696529</v>
      </c>
      <c r="AG86" s="4">
        <f t="shared" si="14"/>
        <v>0.602819639392265</v>
      </c>
      <c r="AH86" s="4">
        <f t="shared" si="17"/>
        <v>0.413050150334579</v>
      </c>
      <c r="AI86" s="4">
        <f t="shared" si="17"/>
        <v>0.305964406807057</v>
      </c>
      <c r="AJ86" s="4">
        <f t="shared" si="17"/>
        <v>0.254907408174699</v>
      </c>
    </row>
    <row r="87" spans="1:36">
      <c r="A87" t="str">
        <f>"semis_procurement_archetype_"&amp;TEXT(ROUND(Table26916[[#This Row],[2016]],3),"0.0")</f>
        <v>semis_procurement_archetype_11.8</v>
      </c>
      <c r="B87" s="4">
        <f t="shared" si="13"/>
        <v>11.8</v>
      </c>
      <c r="C87" s="4">
        <f t="shared" si="15"/>
        <v>11.8</v>
      </c>
      <c r="D87" s="4">
        <f t="shared" si="15"/>
        <v>11.8</v>
      </c>
      <c r="E87" s="4">
        <f t="shared" si="15"/>
        <v>11.5201760353643</v>
      </c>
      <c r="F87" s="4">
        <f t="shared" si="15"/>
        <v>10.8436852811757</v>
      </c>
      <c r="G87" s="4">
        <f t="shared" si="15"/>
        <v>10.9382603421881</v>
      </c>
      <c r="H87" s="4">
        <f t="shared" si="15"/>
        <v>10.644622728761</v>
      </c>
      <c r="I87" s="4">
        <f t="shared" si="15"/>
        <v>10.0766010477755</v>
      </c>
      <c r="J87" s="4">
        <f t="shared" si="15"/>
        <v>9.75751497317395</v>
      </c>
      <c r="K87" s="4">
        <f t="shared" si="15"/>
        <v>9.42996637177398</v>
      </c>
      <c r="L87" s="4">
        <f t="shared" si="15"/>
        <v>8.91256502157484</v>
      </c>
      <c r="M87" s="4">
        <f t="shared" si="15"/>
        <v>8.84976858164764</v>
      </c>
      <c r="N87" s="4">
        <f t="shared" si="15"/>
        <v>8.42582181476031</v>
      </c>
      <c r="O87" s="4">
        <f t="shared" si="15"/>
        <v>7.98622427098703</v>
      </c>
      <c r="P87" s="4">
        <f t="shared" si="15"/>
        <v>7.46652899226052</v>
      </c>
      <c r="Q87" s="4">
        <f t="shared" si="15"/>
        <v>6.45198514952074</v>
      </c>
      <c r="R87" s="4">
        <f t="shared" si="15"/>
        <v>5.08333329153486</v>
      </c>
      <c r="S87" s="4">
        <f t="shared" si="14"/>
        <v>4.64686751748006</v>
      </c>
      <c r="T87" s="4">
        <f t="shared" si="14"/>
        <v>3.69811378730045</v>
      </c>
      <c r="U87" s="4">
        <f t="shared" si="14"/>
        <v>2.74198928158318</v>
      </c>
      <c r="V87" s="4">
        <f t="shared" si="14"/>
        <v>2.55771799721857</v>
      </c>
      <c r="W87" s="4">
        <f t="shared" si="14"/>
        <v>2.00171011670372</v>
      </c>
      <c r="X87" s="4">
        <f t="shared" si="14"/>
        <v>1.71956752499932</v>
      </c>
      <c r="Y87" s="4">
        <f t="shared" si="14"/>
        <v>1.42609191624415</v>
      </c>
      <c r="Z87" s="4">
        <f t="shared" si="14"/>
        <v>1.38023317269568</v>
      </c>
      <c r="AA87" s="4">
        <f t="shared" si="14"/>
        <v>1.23792558168264</v>
      </c>
      <c r="AB87" s="4">
        <f t="shared" si="14"/>
        <v>1.0301262688413</v>
      </c>
      <c r="AC87" s="4">
        <f t="shared" si="14"/>
        <v>0.859932218897125</v>
      </c>
      <c r="AD87" s="4">
        <f t="shared" si="14"/>
        <v>0.831783495900327</v>
      </c>
      <c r="AE87" s="4">
        <f t="shared" si="14"/>
        <v>0.716989669915957</v>
      </c>
      <c r="AF87" s="4">
        <f t="shared" si="14"/>
        <v>0.650039695759177</v>
      </c>
      <c r="AG87" s="4">
        <f t="shared" si="14"/>
        <v>0.599832009809468</v>
      </c>
      <c r="AH87" s="4">
        <f t="shared" si="17"/>
        <v>0.411692129855885</v>
      </c>
      <c r="AI87" s="4">
        <f t="shared" si="17"/>
        <v>0.305525964620104</v>
      </c>
      <c r="AJ87" s="4">
        <f t="shared" si="17"/>
        <v>0.254907408174699</v>
      </c>
    </row>
    <row r="88" spans="1:36">
      <c r="A88" t="str">
        <f>"semis_procurement_archetype_"&amp;TEXT(ROUND(Table26916[[#This Row],[2016]],3),"0.0")</f>
        <v>semis_procurement_archetype_11.7</v>
      </c>
      <c r="B88" s="4">
        <f t="shared" si="13"/>
        <v>11.7</v>
      </c>
      <c r="C88" s="4">
        <f t="shared" si="15"/>
        <v>11.7</v>
      </c>
      <c r="D88" s="4">
        <f t="shared" si="15"/>
        <v>11.7</v>
      </c>
      <c r="E88" s="4">
        <f t="shared" si="15"/>
        <v>11.4225997834842</v>
      </c>
      <c r="F88" s="4">
        <f t="shared" si="15"/>
        <v>10.7519685817315</v>
      </c>
      <c r="G88" s="4">
        <f t="shared" si="15"/>
        <v>10.8457244629906</v>
      </c>
      <c r="H88" s="4">
        <f t="shared" si="15"/>
        <v>10.5546302472113</v>
      </c>
      <c r="I88" s="4">
        <f t="shared" si="15"/>
        <v>9.9915285932977</v>
      </c>
      <c r="J88" s="4">
        <f t="shared" si="15"/>
        <v>9.67520634299694</v>
      </c>
      <c r="K88" s="4">
        <f t="shared" si="15"/>
        <v>9.35049486567193</v>
      </c>
      <c r="L88" s="4">
        <f t="shared" si="15"/>
        <v>8.83757508498888</v>
      </c>
      <c r="M88" s="4">
        <f t="shared" si="15"/>
        <v>8.77532256828644</v>
      </c>
      <c r="N88" s="4">
        <f t="shared" si="15"/>
        <v>8.35504789639112</v>
      </c>
      <c r="O88" s="4">
        <f t="shared" si="15"/>
        <v>7.9192580097698</v>
      </c>
      <c r="P88" s="4">
        <f t="shared" si="15"/>
        <v>7.40406416985457</v>
      </c>
      <c r="Q88" s="4">
        <f t="shared" si="15"/>
        <v>6.39830799022507</v>
      </c>
      <c r="R88" s="4">
        <f t="shared" si="15"/>
        <v>5.04151096880374</v>
      </c>
      <c r="S88" s="4">
        <f t="shared" si="14"/>
        <v>4.60882572548599</v>
      </c>
      <c r="T88" s="4">
        <f t="shared" si="14"/>
        <v>3.66828980493097</v>
      </c>
      <c r="U88" s="4">
        <f t="shared" si="14"/>
        <v>2.72044695220274</v>
      </c>
      <c r="V88" s="4">
        <f t="shared" si="14"/>
        <v>2.53777176837087</v>
      </c>
      <c r="W88" s="4">
        <f t="shared" si="14"/>
        <v>1.98657985512604</v>
      </c>
      <c r="X88" s="4">
        <f t="shared" si="14"/>
        <v>1.70688109476781</v>
      </c>
      <c r="Y88" s="4">
        <f t="shared" si="14"/>
        <v>1.41594748042647</v>
      </c>
      <c r="Z88" s="4">
        <f t="shared" si="14"/>
        <v>1.37048595104657</v>
      </c>
      <c r="AA88" s="4">
        <f t="shared" si="14"/>
        <v>1.22941098411064</v>
      </c>
      <c r="AB88" s="4">
        <f t="shared" si="14"/>
        <v>1.02341156426444</v>
      </c>
      <c r="AC88" s="4">
        <f t="shared" si="14"/>
        <v>0.854691682228317</v>
      </c>
      <c r="AD88" s="4">
        <f t="shared" si="14"/>
        <v>0.826786774712192</v>
      </c>
      <c r="AE88" s="4">
        <f t="shared" si="14"/>
        <v>0.712987257132638</v>
      </c>
      <c r="AF88" s="4">
        <f t="shared" si="14"/>
        <v>0.646617182821825</v>
      </c>
      <c r="AG88" s="4">
        <f t="shared" si="14"/>
        <v>0.59684438022667</v>
      </c>
      <c r="AH88" s="4">
        <f t="shared" si="17"/>
        <v>0.410334109377191</v>
      </c>
      <c r="AI88" s="4">
        <f t="shared" si="17"/>
        <v>0.30508752243315</v>
      </c>
      <c r="AJ88" s="4">
        <f t="shared" si="17"/>
        <v>0.254907408174699</v>
      </c>
    </row>
    <row r="89" spans="1:36">
      <c r="A89" t="str">
        <f>"semis_procurement_archetype_"&amp;TEXT(ROUND(Table26916[[#This Row],[2016]],3),"0.0")</f>
        <v>semis_procurement_archetype_11.6</v>
      </c>
      <c r="B89" s="4">
        <f t="shared" si="13"/>
        <v>11.6</v>
      </c>
      <c r="C89" s="4">
        <f t="shared" si="15"/>
        <v>11.6</v>
      </c>
      <c r="D89" s="4">
        <f t="shared" si="15"/>
        <v>11.6</v>
      </c>
      <c r="E89" s="4">
        <f t="shared" si="15"/>
        <v>11.3250235316041</v>
      </c>
      <c r="F89" s="4">
        <f t="shared" si="15"/>
        <v>10.6602518822873</v>
      </c>
      <c r="G89" s="4">
        <f t="shared" si="15"/>
        <v>10.7531885837931</v>
      </c>
      <c r="H89" s="4">
        <f t="shared" si="15"/>
        <v>10.4646377656617</v>
      </c>
      <c r="I89" s="4">
        <f t="shared" si="15"/>
        <v>9.9064561388199</v>
      </c>
      <c r="J89" s="4">
        <f t="shared" si="15"/>
        <v>9.59289771281993</v>
      </c>
      <c r="K89" s="4">
        <f t="shared" si="15"/>
        <v>9.27102335956989</v>
      </c>
      <c r="L89" s="4">
        <f t="shared" si="15"/>
        <v>8.76258514840292</v>
      </c>
      <c r="M89" s="4">
        <f t="shared" si="15"/>
        <v>8.70087655492524</v>
      </c>
      <c r="N89" s="4">
        <f t="shared" si="15"/>
        <v>8.28427397802193</v>
      </c>
      <c r="O89" s="4">
        <f t="shared" si="15"/>
        <v>7.85229174855258</v>
      </c>
      <c r="P89" s="4">
        <f t="shared" si="15"/>
        <v>7.34159934744862</v>
      </c>
      <c r="Q89" s="4">
        <f t="shared" si="15"/>
        <v>6.34463083092941</v>
      </c>
      <c r="R89" s="4">
        <f t="shared" si="15"/>
        <v>4.99968864607261</v>
      </c>
      <c r="S89" s="4">
        <f t="shared" si="14"/>
        <v>4.57078393349192</v>
      </c>
      <c r="T89" s="4">
        <f t="shared" si="14"/>
        <v>3.6384658225615</v>
      </c>
      <c r="U89" s="4">
        <f t="shared" si="14"/>
        <v>2.69890462282229</v>
      </c>
      <c r="V89" s="4">
        <f t="shared" si="14"/>
        <v>2.51782553952318</v>
      </c>
      <c r="W89" s="4">
        <f t="shared" si="14"/>
        <v>1.97144959354835</v>
      </c>
      <c r="X89" s="4">
        <f t="shared" si="14"/>
        <v>1.69419466453631</v>
      </c>
      <c r="Y89" s="4">
        <f t="shared" si="14"/>
        <v>1.40580304460879</v>
      </c>
      <c r="Z89" s="4">
        <f t="shared" si="14"/>
        <v>1.36073872939745</v>
      </c>
      <c r="AA89" s="4">
        <f t="shared" si="14"/>
        <v>1.22089638653865</v>
      </c>
      <c r="AB89" s="4">
        <f t="shared" si="14"/>
        <v>1.01669685968757</v>
      </c>
      <c r="AC89" s="4">
        <f t="shared" si="14"/>
        <v>0.849451145559509</v>
      </c>
      <c r="AD89" s="4">
        <f t="shared" si="14"/>
        <v>0.821790053524056</v>
      </c>
      <c r="AE89" s="4">
        <f t="shared" si="14"/>
        <v>0.708984844349319</v>
      </c>
      <c r="AF89" s="4">
        <f t="shared" si="14"/>
        <v>0.643194669884473</v>
      </c>
      <c r="AG89" s="4">
        <f t="shared" si="14"/>
        <v>0.593856750643872</v>
      </c>
      <c r="AH89" s="4">
        <f t="shared" si="17"/>
        <v>0.408976088898497</v>
      </c>
      <c r="AI89" s="4">
        <f t="shared" si="17"/>
        <v>0.304649080246197</v>
      </c>
      <c r="AJ89" s="4">
        <f t="shared" si="17"/>
        <v>0.254907408174699</v>
      </c>
    </row>
    <row r="90" spans="1:36">
      <c r="A90" t="str">
        <f>"semis_procurement_archetype_"&amp;TEXT(ROUND(Table26916[[#This Row],[2016]],3),"0.0")</f>
        <v>semis_procurement_archetype_11.5</v>
      </c>
      <c r="B90" s="4">
        <f t="shared" si="13"/>
        <v>11.5</v>
      </c>
      <c r="C90" s="4">
        <f t="shared" si="15"/>
        <v>11.5</v>
      </c>
      <c r="D90" s="4">
        <f t="shared" si="15"/>
        <v>11.5</v>
      </c>
      <c r="E90" s="4">
        <f t="shared" si="15"/>
        <v>11.227447279724</v>
      </c>
      <c r="F90" s="4">
        <f t="shared" si="15"/>
        <v>10.568535182843</v>
      </c>
      <c r="G90" s="4">
        <f t="shared" si="15"/>
        <v>10.6606527045956</v>
      </c>
      <c r="H90" s="4">
        <f t="shared" si="15"/>
        <v>10.3746452841121</v>
      </c>
      <c r="I90" s="4">
        <f t="shared" si="15"/>
        <v>9.82138368434209</v>
      </c>
      <c r="J90" s="4">
        <f t="shared" si="15"/>
        <v>9.51058908264291</v>
      </c>
      <c r="K90" s="4">
        <f t="shared" si="15"/>
        <v>9.19155185346784</v>
      </c>
      <c r="L90" s="4">
        <f t="shared" si="15"/>
        <v>8.68759521181696</v>
      </c>
      <c r="M90" s="4">
        <f t="shared" si="15"/>
        <v>8.62643054156404</v>
      </c>
      <c r="N90" s="4">
        <f t="shared" si="15"/>
        <v>8.21350005965274</v>
      </c>
      <c r="O90" s="4">
        <f t="shared" si="15"/>
        <v>7.78532548733535</v>
      </c>
      <c r="P90" s="4">
        <f t="shared" si="15"/>
        <v>7.27913452504268</v>
      </c>
      <c r="Q90" s="4">
        <f t="shared" si="15"/>
        <v>6.29095367163375</v>
      </c>
      <c r="R90" s="4">
        <f t="shared" si="15"/>
        <v>4.95786632334149</v>
      </c>
      <c r="S90" s="4">
        <f t="shared" si="14"/>
        <v>4.53274214149784</v>
      </c>
      <c r="T90" s="4">
        <f t="shared" si="14"/>
        <v>3.60864184019202</v>
      </c>
      <c r="U90" s="4">
        <f t="shared" si="14"/>
        <v>2.67736229344184</v>
      </c>
      <c r="V90" s="4">
        <f t="shared" si="14"/>
        <v>2.49787931067548</v>
      </c>
      <c r="W90" s="4">
        <f t="shared" si="14"/>
        <v>1.95631933197067</v>
      </c>
      <c r="X90" s="4">
        <f t="shared" si="14"/>
        <v>1.6815082343048</v>
      </c>
      <c r="Y90" s="4">
        <f t="shared" si="14"/>
        <v>1.39565860879111</v>
      </c>
      <c r="Z90" s="4">
        <f t="shared" si="14"/>
        <v>1.35099150774833</v>
      </c>
      <c r="AA90" s="4">
        <f t="shared" si="14"/>
        <v>1.21238178896666</v>
      </c>
      <c r="AB90" s="4">
        <f t="shared" si="14"/>
        <v>1.00998215511071</v>
      </c>
      <c r="AC90" s="4">
        <f t="shared" si="14"/>
        <v>0.844210608890701</v>
      </c>
      <c r="AD90" s="4">
        <f t="shared" si="14"/>
        <v>0.81679333233592</v>
      </c>
      <c r="AE90" s="4">
        <f t="shared" si="14"/>
        <v>0.704982431566</v>
      </c>
      <c r="AF90" s="4">
        <f t="shared" si="14"/>
        <v>0.639772156947121</v>
      </c>
      <c r="AG90" s="4">
        <f t="shared" si="14"/>
        <v>0.590869121061074</v>
      </c>
      <c r="AH90" s="4">
        <f t="shared" si="17"/>
        <v>0.407618068419803</v>
      </c>
      <c r="AI90" s="4">
        <f t="shared" si="17"/>
        <v>0.304210638059243</v>
      </c>
      <c r="AJ90" s="4">
        <f t="shared" si="17"/>
        <v>0.254907408174699</v>
      </c>
    </row>
    <row r="91" spans="1:36">
      <c r="A91" t="str">
        <f>"semis_procurement_archetype_"&amp;TEXT(ROUND(Table26916[[#This Row],[2016]],3),"0.0")</f>
        <v>semis_procurement_archetype_11.4</v>
      </c>
      <c r="B91" s="4">
        <f t="shared" si="13"/>
        <v>11.4</v>
      </c>
      <c r="C91" s="4">
        <f t="shared" si="15"/>
        <v>11.4</v>
      </c>
      <c r="D91" s="4">
        <f t="shared" si="15"/>
        <v>11.4</v>
      </c>
      <c r="E91" s="4">
        <f t="shared" si="15"/>
        <v>11.1298710278439</v>
      </c>
      <c r="F91" s="4">
        <f t="shared" si="15"/>
        <v>10.4768184833988</v>
      </c>
      <c r="G91" s="4">
        <f t="shared" si="15"/>
        <v>10.568116825398</v>
      </c>
      <c r="H91" s="4">
        <f t="shared" si="15"/>
        <v>10.2846528025624</v>
      </c>
      <c r="I91" s="4">
        <f t="shared" si="15"/>
        <v>9.73631122986429</v>
      </c>
      <c r="J91" s="4">
        <f t="shared" si="15"/>
        <v>9.4282804524659</v>
      </c>
      <c r="K91" s="4">
        <f t="shared" si="15"/>
        <v>9.1120803473658</v>
      </c>
      <c r="L91" s="4">
        <f t="shared" si="15"/>
        <v>8.612605275231</v>
      </c>
      <c r="M91" s="4">
        <f t="shared" si="15"/>
        <v>8.55198452820284</v>
      </c>
      <c r="N91" s="4">
        <f t="shared" si="15"/>
        <v>8.14272614128356</v>
      </c>
      <c r="O91" s="4">
        <f t="shared" si="15"/>
        <v>7.71835922611812</v>
      </c>
      <c r="P91" s="4">
        <f t="shared" si="15"/>
        <v>7.21666970263673</v>
      </c>
      <c r="Q91" s="4">
        <f t="shared" si="15"/>
        <v>6.23727651233808</v>
      </c>
      <c r="R91" s="4">
        <f t="shared" si="15"/>
        <v>4.91604400061037</v>
      </c>
      <c r="S91" s="4">
        <f t="shared" si="14"/>
        <v>4.49470034950377</v>
      </c>
      <c r="T91" s="4">
        <f t="shared" si="14"/>
        <v>3.57881785782254</v>
      </c>
      <c r="U91" s="4">
        <f t="shared" si="14"/>
        <v>2.6558199640614</v>
      </c>
      <c r="V91" s="4">
        <f t="shared" si="14"/>
        <v>2.47793308182778</v>
      </c>
      <c r="W91" s="4">
        <f t="shared" si="14"/>
        <v>1.94118907039299</v>
      </c>
      <c r="X91" s="4">
        <f t="shared" si="14"/>
        <v>1.6688218040733</v>
      </c>
      <c r="Y91" s="4">
        <f t="shared" si="14"/>
        <v>1.38551417297343</v>
      </c>
      <c r="Z91" s="4">
        <f t="shared" si="14"/>
        <v>1.34124428609921</v>
      </c>
      <c r="AA91" s="4">
        <f t="shared" si="14"/>
        <v>1.20386719139466</v>
      </c>
      <c r="AB91" s="4">
        <f t="shared" si="14"/>
        <v>1.00326745053384</v>
      </c>
      <c r="AC91" s="4">
        <f t="shared" si="14"/>
        <v>0.838970072221894</v>
      </c>
      <c r="AD91" s="4">
        <f t="shared" si="14"/>
        <v>0.811796611147784</v>
      </c>
      <c r="AE91" s="4">
        <f t="shared" si="14"/>
        <v>0.70098001878268</v>
      </c>
      <c r="AF91" s="4">
        <f t="shared" si="14"/>
        <v>0.636349644009769</v>
      </c>
      <c r="AG91" s="4">
        <f t="shared" si="14"/>
        <v>0.587881491478276</v>
      </c>
      <c r="AH91" s="4">
        <f t="shared" si="17"/>
        <v>0.406260047941109</v>
      </c>
      <c r="AI91" s="4">
        <f t="shared" si="17"/>
        <v>0.30377219587229</v>
      </c>
      <c r="AJ91" s="4">
        <f t="shared" si="17"/>
        <v>0.254907408174699</v>
      </c>
    </row>
    <row r="92" spans="1:36">
      <c r="A92" t="str">
        <f>"semis_procurement_archetype_"&amp;TEXT(ROUND(Table26916[[#This Row],[2016]],3),"0.0")</f>
        <v>semis_procurement_archetype_11.3</v>
      </c>
      <c r="B92" s="4">
        <f t="shared" si="13"/>
        <v>11.3</v>
      </c>
      <c r="C92" s="4">
        <f t="shared" si="15"/>
        <v>11.3</v>
      </c>
      <c r="D92" s="4">
        <f t="shared" si="15"/>
        <v>11.3</v>
      </c>
      <c r="E92" s="4">
        <f t="shared" si="15"/>
        <v>11.0322947759638</v>
      </c>
      <c r="F92" s="4">
        <f t="shared" si="15"/>
        <v>10.3851017839546</v>
      </c>
      <c r="G92" s="4">
        <f t="shared" si="15"/>
        <v>10.4755809462005</v>
      </c>
      <c r="H92" s="4">
        <f t="shared" si="15"/>
        <v>10.1946603210128</v>
      </c>
      <c r="I92" s="4">
        <f t="shared" si="15"/>
        <v>9.65123877538649</v>
      </c>
      <c r="J92" s="4">
        <f t="shared" si="15"/>
        <v>9.34597182228889</v>
      </c>
      <c r="K92" s="4">
        <f t="shared" si="15"/>
        <v>9.03260884126375</v>
      </c>
      <c r="L92" s="4">
        <f t="shared" si="15"/>
        <v>8.53761533864504</v>
      </c>
      <c r="M92" s="4">
        <f t="shared" si="15"/>
        <v>8.47753851484165</v>
      </c>
      <c r="N92" s="4">
        <f t="shared" si="15"/>
        <v>8.07195222291437</v>
      </c>
      <c r="O92" s="4">
        <f t="shared" si="15"/>
        <v>7.6513929649009</v>
      </c>
      <c r="P92" s="4">
        <f t="shared" si="15"/>
        <v>7.15420488023078</v>
      </c>
      <c r="Q92" s="4">
        <f t="shared" si="15"/>
        <v>6.18359935304242</v>
      </c>
      <c r="R92" s="4">
        <f t="shared" ref="R92:AG107" si="18">(($B92-$AJ$2)*((R$2-$AJ$2)/($B$2-$AJ$2)))+$AJ$2</f>
        <v>4.87422167787925</v>
      </c>
      <c r="S92" s="4">
        <f t="shared" si="18"/>
        <v>4.4566585575097</v>
      </c>
      <c r="T92" s="4">
        <f t="shared" si="18"/>
        <v>3.54899387545307</v>
      </c>
      <c r="U92" s="4">
        <f t="shared" si="18"/>
        <v>2.63427763468095</v>
      </c>
      <c r="V92" s="4">
        <f t="shared" si="18"/>
        <v>2.45798685298009</v>
      </c>
      <c r="W92" s="4">
        <f t="shared" si="18"/>
        <v>1.9260588088153</v>
      </c>
      <c r="X92" s="4">
        <f t="shared" si="18"/>
        <v>1.65613537384179</v>
      </c>
      <c r="Y92" s="4">
        <f t="shared" si="18"/>
        <v>1.37536973715575</v>
      </c>
      <c r="Z92" s="4">
        <f t="shared" si="18"/>
        <v>1.3314970644501</v>
      </c>
      <c r="AA92" s="4">
        <f t="shared" si="18"/>
        <v>1.19535259382267</v>
      </c>
      <c r="AB92" s="4">
        <f t="shared" si="18"/>
        <v>0.996552745956976</v>
      </c>
      <c r="AC92" s="4">
        <f t="shared" si="18"/>
        <v>0.833729535553086</v>
      </c>
      <c r="AD92" s="4">
        <f t="shared" si="18"/>
        <v>0.806799889959648</v>
      </c>
      <c r="AE92" s="4">
        <f t="shared" si="18"/>
        <v>0.696977605999361</v>
      </c>
      <c r="AF92" s="4">
        <f t="shared" si="18"/>
        <v>0.632927131072417</v>
      </c>
      <c r="AG92" s="4">
        <f t="shared" si="18"/>
        <v>0.584893861895479</v>
      </c>
      <c r="AH92" s="4">
        <f t="shared" si="17"/>
        <v>0.404902027462415</v>
      </c>
      <c r="AI92" s="4">
        <f t="shared" si="17"/>
        <v>0.303333753685336</v>
      </c>
      <c r="AJ92" s="4">
        <f t="shared" si="17"/>
        <v>0.254907408174699</v>
      </c>
    </row>
    <row r="93" spans="1:36">
      <c r="A93" t="str">
        <f>"semis_procurement_archetype_"&amp;TEXT(ROUND(Table26916[[#This Row],[2016]],3),"0.0")</f>
        <v>semis_procurement_archetype_11.2</v>
      </c>
      <c r="B93" s="4">
        <f t="shared" si="13"/>
        <v>11.2</v>
      </c>
      <c r="C93" s="4">
        <f t="shared" ref="C93:R108" si="19">(($B93-$AJ$2)*((C$2-$AJ$2)/($B$2-$AJ$2)))+$AJ$2</f>
        <v>11.2</v>
      </c>
      <c r="D93" s="4">
        <f t="shared" si="19"/>
        <v>11.2</v>
      </c>
      <c r="E93" s="4">
        <f t="shared" si="19"/>
        <v>10.9347185240837</v>
      </c>
      <c r="F93" s="4">
        <f t="shared" si="19"/>
        <v>10.2933850845104</v>
      </c>
      <c r="G93" s="4">
        <f t="shared" si="19"/>
        <v>10.383045067003</v>
      </c>
      <c r="H93" s="4">
        <f t="shared" si="19"/>
        <v>10.1046678394632</v>
      </c>
      <c r="I93" s="4">
        <f t="shared" si="19"/>
        <v>9.56616632090869</v>
      </c>
      <c r="J93" s="4">
        <f t="shared" si="19"/>
        <v>9.26366319211187</v>
      </c>
      <c r="K93" s="4">
        <f t="shared" si="19"/>
        <v>8.9531373351617</v>
      </c>
      <c r="L93" s="4">
        <f t="shared" si="19"/>
        <v>8.46262540205908</v>
      </c>
      <c r="M93" s="4">
        <f t="shared" si="19"/>
        <v>8.40309250148045</v>
      </c>
      <c r="N93" s="4">
        <f t="shared" si="19"/>
        <v>8.00117830454518</v>
      </c>
      <c r="O93" s="4">
        <f t="shared" si="19"/>
        <v>7.58442670368367</v>
      </c>
      <c r="P93" s="4">
        <f t="shared" si="19"/>
        <v>7.09174005782484</v>
      </c>
      <c r="Q93" s="4">
        <f t="shared" si="19"/>
        <v>6.12992219374675</v>
      </c>
      <c r="R93" s="4">
        <f t="shared" si="19"/>
        <v>4.83239935514812</v>
      </c>
      <c r="S93" s="4">
        <f t="shared" si="18"/>
        <v>4.41861676551562</v>
      </c>
      <c r="T93" s="4">
        <f t="shared" si="18"/>
        <v>3.51916989308359</v>
      </c>
      <c r="U93" s="4">
        <f t="shared" si="18"/>
        <v>2.61273530530051</v>
      </c>
      <c r="V93" s="4">
        <f t="shared" si="18"/>
        <v>2.43804062413239</v>
      </c>
      <c r="W93" s="4">
        <f t="shared" si="18"/>
        <v>1.91092854723762</v>
      </c>
      <c r="X93" s="4">
        <f t="shared" si="18"/>
        <v>1.64344894361029</v>
      </c>
      <c r="Y93" s="4">
        <f t="shared" si="18"/>
        <v>1.36522530133807</v>
      </c>
      <c r="Z93" s="4">
        <f t="shared" si="18"/>
        <v>1.32174984280098</v>
      </c>
      <c r="AA93" s="4">
        <f t="shared" si="18"/>
        <v>1.18683799625068</v>
      </c>
      <c r="AB93" s="4">
        <f t="shared" si="18"/>
        <v>0.989838041380111</v>
      </c>
      <c r="AC93" s="4">
        <f t="shared" si="18"/>
        <v>0.828488998884278</v>
      </c>
      <c r="AD93" s="4">
        <f t="shared" si="18"/>
        <v>0.801803168771513</v>
      </c>
      <c r="AE93" s="4">
        <f t="shared" si="18"/>
        <v>0.692975193216042</v>
      </c>
      <c r="AF93" s="4">
        <f t="shared" si="18"/>
        <v>0.629504618135066</v>
      </c>
      <c r="AG93" s="4">
        <f t="shared" si="18"/>
        <v>0.581906232312681</v>
      </c>
      <c r="AH93" s="4">
        <f t="shared" si="17"/>
        <v>0.40354400698372</v>
      </c>
      <c r="AI93" s="4">
        <f t="shared" si="17"/>
        <v>0.302895311498383</v>
      </c>
      <c r="AJ93" s="4">
        <f t="shared" si="17"/>
        <v>0.254907408174699</v>
      </c>
    </row>
    <row r="94" spans="1:36">
      <c r="A94" t="str">
        <f>"semis_procurement_archetype_"&amp;TEXT(ROUND(Table26916[[#This Row],[2016]],3),"0.0")</f>
        <v>semis_procurement_archetype_11.1</v>
      </c>
      <c r="B94" s="4">
        <f t="shared" si="13"/>
        <v>11.1</v>
      </c>
      <c r="C94" s="4">
        <f t="shared" si="19"/>
        <v>11.1</v>
      </c>
      <c r="D94" s="4">
        <f t="shared" si="19"/>
        <v>11.1</v>
      </c>
      <c r="E94" s="4">
        <f t="shared" si="19"/>
        <v>10.8371422722037</v>
      </c>
      <c r="F94" s="4">
        <f t="shared" si="19"/>
        <v>10.2016683850662</v>
      </c>
      <c r="G94" s="4">
        <f t="shared" si="19"/>
        <v>10.2905091878055</v>
      </c>
      <c r="H94" s="4">
        <f t="shared" si="19"/>
        <v>10.0146753579135</v>
      </c>
      <c r="I94" s="4">
        <f t="shared" si="19"/>
        <v>9.48109386643088</v>
      </c>
      <c r="J94" s="4">
        <f t="shared" si="19"/>
        <v>9.18135456193486</v>
      </c>
      <c r="K94" s="4">
        <f t="shared" si="19"/>
        <v>8.87366582905966</v>
      </c>
      <c r="L94" s="4">
        <f t="shared" si="19"/>
        <v>8.38763546547312</v>
      </c>
      <c r="M94" s="4">
        <f t="shared" si="19"/>
        <v>8.32864648811925</v>
      </c>
      <c r="N94" s="4">
        <f t="shared" si="19"/>
        <v>7.93040438617599</v>
      </c>
      <c r="O94" s="4">
        <f t="shared" si="19"/>
        <v>7.51746044246645</v>
      </c>
      <c r="P94" s="4">
        <f t="shared" si="19"/>
        <v>7.02927523541889</v>
      </c>
      <c r="Q94" s="4">
        <f t="shared" si="19"/>
        <v>6.07624503445109</v>
      </c>
      <c r="R94" s="4">
        <f t="shared" si="19"/>
        <v>4.790577032417</v>
      </c>
      <c r="S94" s="4">
        <f t="shared" si="18"/>
        <v>4.38057497352155</v>
      </c>
      <c r="T94" s="4">
        <f t="shared" si="18"/>
        <v>3.48934591071411</v>
      </c>
      <c r="U94" s="4">
        <f t="shared" si="18"/>
        <v>2.59119297592006</v>
      </c>
      <c r="V94" s="4">
        <f t="shared" si="18"/>
        <v>2.4180943952847</v>
      </c>
      <c r="W94" s="4">
        <f t="shared" si="18"/>
        <v>1.89579828565993</v>
      </c>
      <c r="X94" s="4">
        <f t="shared" si="18"/>
        <v>1.63076251337878</v>
      </c>
      <c r="Y94" s="4">
        <f t="shared" si="18"/>
        <v>1.35508086552039</v>
      </c>
      <c r="Z94" s="4">
        <f t="shared" si="18"/>
        <v>1.31200262115186</v>
      </c>
      <c r="AA94" s="4">
        <f t="shared" si="18"/>
        <v>1.17832339867868</v>
      </c>
      <c r="AB94" s="4">
        <f t="shared" si="18"/>
        <v>0.983123336803246</v>
      </c>
      <c r="AC94" s="4">
        <f t="shared" si="18"/>
        <v>0.82324846221547</v>
      </c>
      <c r="AD94" s="4">
        <f t="shared" si="18"/>
        <v>0.796806447583377</v>
      </c>
      <c r="AE94" s="4">
        <f t="shared" si="18"/>
        <v>0.688972780432723</v>
      </c>
      <c r="AF94" s="4">
        <f t="shared" si="18"/>
        <v>0.626082105197714</v>
      </c>
      <c r="AG94" s="4">
        <f t="shared" si="18"/>
        <v>0.578918602729883</v>
      </c>
      <c r="AH94" s="4">
        <f t="shared" si="17"/>
        <v>0.402185986505026</v>
      </c>
      <c r="AI94" s="4">
        <f t="shared" si="17"/>
        <v>0.302456869311429</v>
      </c>
      <c r="AJ94" s="4">
        <f t="shared" si="17"/>
        <v>0.254907408174699</v>
      </c>
    </row>
    <row r="95" spans="1:36">
      <c r="A95" t="str">
        <f>"semis_procurement_archetype_"&amp;TEXT(ROUND(Table26916[[#This Row],[2016]],3),"0.0")</f>
        <v>semis_procurement_archetype_11.0</v>
      </c>
      <c r="B95" s="4">
        <f t="shared" si="13"/>
        <v>11</v>
      </c>
      <c r="C95" s="4">
        <f t="shared" si="19"/>
        <v>11</v>
      </c>
      <c r="D95" s="4">
        <f t="shared" si="19"/>
        <v>11</v>
      </c>
      <c r="E95" s="4">
        <f t="shared" si="19"/>
        <v>10.7395660203236</v>
      </c>
      <c r="F95" s="4">
        <f t="shared" si="19"/>
        <v>10.109951685622</v>
      </c>
      <c r="G95" s="4">
        <f t="shared" si="19"/>
        <v>10.197973308608</v>
      </c>
      <c r="H95" s="4">
        <f t="shared" si="19"/>
        <v>9.9246828763639</v>
      </c>
      <c r="I95" s="4">
        <f t="shared" si="19"/>
        <v>9.39602141195308</v>
      </c>
      <c r="J95" s="4">
        <f t="shared" si="19"/>
        <v>9.09904593175785</v>
      </c>
      <c r="K95" s="4">
        <f t="shared" si="19"/>
        <v>8.79419432295761</v>
      </c>
      <c r="L95" s="4">
        <f t="shared" si="19"/>
        <v>8.31264552888716</v>
      </c>
      <c r="M95" s="4">
        <f t="shared" si="19"/>
        <v>8.25420047475805</v>
      </c>
      <c r="N95" s="4">
        <f t="shared" si="19"/>
        <v>7.8596304678068</v>
      </c>
      <c r="O95" s="4">
        <f t="shared" si="19"/>
        <v>7.45049418124922</v>
      </c>
      <c r="P95" s="4">
        <f t="shared" si="19"/>
        <v>6.96681041301294</v>
      </c>
      <c r="Q95" s="4">
        <f t="shared" si="19"/>
        <v>6.02256787515542</v>
      </c>
      <c r="R95" s="4">
        <f t="shared" si="19"/>
        <v>4.74875470968588</v>
      </c>
      <c r="S95" s="4">
        <f t="shared" si="18"/>
        <v>4.34253318152748</v>
      </c>
      <c r="T95" s="4">
        <f t="shared" si="18"/>
        <v>3.45952192834463</v>
      </c>
      <c r="U95" s="4">
        <f t="shared" si="18"/>
        <v>2.56965064653961</v>
      </c>
      <c r="V95" s="4">
        <f t="shared" si="18"/>
        <v>2.398148166437</v>
      </c>
      <c r="W95" s="4">
        <f t="shared" si="18"/>
        <v>1.88066802408225</v>
      </c>
      <c r="X95" s="4">
        <f t="shared" si="18"/>
        <v>1.61807608314728</v>
      </c>
      <c r="Y95" s="4">
        <f t="shared" si="18"/>
        <v>1.34493642970271</v>
      </c>
      <c r="Z95" s="4">
        <f t="shared" si="18"/>
        <v>1.30225539950275</v>
      </c>
      <c r="AA95" s="4">
        <f t="shared" si="18"/>
        <v>1.16980880110669</v>
      </c>
      <c r="AB95" s="4">
        <f t="shared" si="18"/>
        <v>0.976408632226381</v>
      </c>
      <c r="AC95" s="4">
        <f t="shared" si="18"/>
        <v>0.818007925546662</v>
      </c>
      <c r="AD95" s="4">
        <f t="shared" si="18"/>
        <v>0.791809726395241</v>
      </c>
      <c r="AE95" s="4">
        <f t="shared" si="18"/>
        <v>0.684970367649403</v>
      </c>
      <c r="AF95" s="4">
        <f t="shared" si="18"/>
        <v>0.622659592260362</v>
      </c>
      <c r="AG95" s="4">
        <f t="shared" si="18"/>
        <v>0.575930973147085</v>
      </c>
      <c r="AH95" s="4">
        <f t="shared" si="17"/>
        <v>0.400827966026332</v>
      </c>
      <c r="AI95" s="4">
        <f t="shared" si="17"/>
        <v>0.302018427124476</v>
      </c>
      <c r="AJ95" s="4">
        <f t="shared" si="17"/>
        <v>0.254907408174699</v>
      </c>
    </row>
    <row r="96" spans="1:36">
      <c r="A96" t="str">
        <f>"semis_procurement_archetype_"&amp;TEXT(ROUND(Table26916[[#This Row],[2016]],3),"0.0")</f>
        <v>semis_procurement_archetype_10.9</v>
      </c>
      <c r="B96" s="4">
        <f t="shared" si="13"/>
        <v>10.9</v>
      </c>
      <c r="C96" s="4">
        <f t="shared" si="19"/>
        <v>10.9</v>
      </c>
      <c r="D96" s="4">
        <f t="shared" si="19"/>
        <v>10.9</v>
      </c>
      <c r="E96" s="4">
        <f t="shared" si="19"/>
        <v>10.6419897684435</v>
      </c>
      <c r="F96" s="4">
        <f t="shared" si="19"/>
        <v>10.0182349861777</v>
      </c>
      <c r="G96" s="4">
        <f t="shared" si="19"/>
        <v>10.1054374294104</v>
      </c>
      <c r="H96" s="4">
        <f t="shared" si="19"/>
        <v>9.83469039481427</v>
      </c>
      <c r="I96" s="4">
        <f t="shared" si="19"/>
        <v>9.31094895747528</v>
      </c>
      <c r="J96" s="4">
        <f t="shared" si="19"/>
        <v>9.01673730158083</v>
      </c>
      <c r="K96" s="4">
        <f t="shared" si="19"/>
        <v>8.71472281685557</v>
      </c>
      <c r="L96" s="4">
        <f t="shared" si="19"/>
        <v>8.2376555923012</v>
      </c>
      <c r="M96" s="4">
        <f t="shared" si="19"/>
        <v>8.17975446139686</v>
      </c>
      <c r="N96" s="4">
        <f t="shared" si="19"/>
        <v>7.78885654943762</v>
      </c>
      <c r="O96" s="4">
        <f t="shared" si="19"/>
        <v>7.38352792003199</v>
      </c>
      <c r="P96" s="4">
        <f t="shared" si="19"/>
        <v>6.90434559060699</v>
      </c>
      <c r="Q96" s="4">
        <f t="shared" si="19"/>
        <v>5.96889071585976</v>
      </c>
      <c r="R96" s="4">
        <f t="shared" si="19"/>
        <v>4.70693238695475</v>
      </c>
      <c r="S96" s="4">
        <f t="shared" si="18"/>
        <v>4.3044913895334</v>
      </c>
      <c r="T96" s="4">
        <f t="shared" si="18"/>
        <v>3.42969794597516</v>
      </c>
      <c r="U96" s="4">
        <f t="shared" si="18"/>
        <v>2.54810831715917</v>
      </c>
      <c r="V96" s="4">
        <f t="shared" si="18"/>
        <v>2.3782019375893</v>
      </c>
      <c r="W96" s="4">
        <f t="shared" si="18"/>
        <v>1.86553776250456</v>
      </c>
      <c r="X96" s="4">
        <f t="shared" si="18"/>
        <v>1.60538965291577</v>
      </c>
      <c r="Y96" s="4">
        <f t="shared" si="18"/>
        <v>1.33479199388503</v>
      </c>
      <c r="Z96" s="4">
        <f t="shared" si="18"/>
        <v>1.29250817785363</v>
      </c>
      <c r="AA96" s="4">
        <f t="shared" si="18"/>
        <v>1.1612942035347</v>
      </c>
      <c r="AB96" s="4">
        <f t="shared" si="18"/>
        <v>0.969693927649516</v>
      </c>
      <c r="AC96" s="4">
        <f t="shared" si="18"/>
        <v>0.812767388877854</v>
      </c>
      <c r="AD96" s="4">
        <f t="shared" si="18"/>
        <v>0.786813005207105</v>
      </c>
      <c r="AE96" s="4">
        <f t="shared" si="18"/>
        <v>0.680967954866084</v>
      </c>
      <c r="AF96" s="4">
        <f t="shared" si="18"/>
        <v>0.61923707932301</v>
      </c>
      <c r="AG96" s="4">
        <f t="shared" si="18"/>
        <v>0.572943343564287</v>
      </c>
      <c r="AH96" s="4">
        <f t="shared" si="17"/>
        <v>0.399469945547638</v>
      </c>
      <c r="AI96" s="4">
        <f t="shared" si="17"/>
        <v>0.301579984937522</v>
      </c>
      <c r="AJ96" s="4">
        <f t="shared" si="17"/>
        <v>0.254907408174699</v>
      </c>
    </row>
    <row r="97" spans="1:36">
      <c r="A97" t="str">
        <f>"semis_procurement_archetype_"&amp;TEXT(ROUND(Table26916[[#This Row],[2016]],3),"0.0")</f>
        <v>semis_procurement_archetype_10.8</v>
      </c>
      <c r="B97" s="4">
        <f t="shared" si="13"/>
        <v>10.8</v>
      </c>
      <c r="C97" s="4">
        <f t="shared" si="19"/>
        <v>10.8</v>
      </c>
      <c r="D97" s="4">
        <f t="shared" si="19"/>
        <v>10.8</v>
      </c>
      <c r="E97" s="4">
        <f t="shared" si="19"/>
        <v>10.5444135165634</v>
      </c>
      <c r="F97" s="4">
        <f t="shared" si="19"/>
        <v>9.92651828673352</v>
      </c>
      <c r="G97" s="4">
        <f t="shared" si="19"/>
        <v>10.0129015502129</v>
      </c>
      <c r="H97" s="4">
        <f t="shared" si="19"/>
        <v>9.74469791326464</v>
      </c>
      <c r="I97" s="4">
        <f t="shared" si="19"/>
        <v>9.22587650299747</v>
      </c>
      <c r="J97" s="4">
        <f t="shared" si="19"/>
        <v>8.93442867140382</v>
      </c>
      <c r="K97" s="4">
        <f t="shared" si="19"/>
        <v>8.63525131075352</v>
      </c>
      <c r="L97" s="4">
        <f t="shared" si="19"/>
        <v>8.16266565571524</v>
      </c>
      <c r="M97" s="4">
        <f t="shared" si="19"/>
        <v>8.10530844803566</v>
      </c>
      <c r="N97" s="4">
        <f t="shared" si="19"/>
        <v>7.71808263106843</v>
      </c>
      <c r="O97" s="4">
        <f t="shared" si="19"/>
        <v>7.31656165881477</v>
      </c>
      <c r="P97" s="4">
        <f t="shared" si="19"/>
        <v>6.84188076820105</v>
      </c>
      <c r="Q97" s="4">
        <f t="shared" si="19"/>
        <v>5.91521355656409</v>
      </c>
      <c r="R97" s="4">
        <f t="shared" si="19"/>
        <v>4.66511006422363</v>
      </c>
      <c r="S97" s="4">
        <f t="shared" si="18"/>
        <v>4.26644959753933</v>
      </c>
      <c r="T97" s="4">
        <f t="shared" si="18"/>
        <v>3.39987396360568</v>
      </c>
      <c r="U97" s="4">
        <f t="shared" si="18"/>
        <v>2.52656598777872</v>
      </c>
      <c r="V97" s="4">
        <f t="shared" si="18"/>
        <v>2.35825570874161</v>
      </c>
      <c r="W97" s="4">
        <f t="shared" si="18"/>
        <v>1.85040750092688</v>
      </c>
      <c r="X97" s="4">
        <f t="shared" si="18"/>
        <v>1.59270322268426</v>
      </c>
      <c r="Y97" s="4">
        <f t="shared" si="18"/>
        <v>1.32464755806735</v>
      </c>
      <c r="Z97" s="4">
        <f t="shared" si="18"/>
        <v>1.28276095620451</v>
      </c>
      <c r="AA97" s="4">
        <f t="shared" si="18"/>
        <v>1.1527796059627</v>
      </c>
      <c r="AB97" s="4">
        <f t="shared" si="18"/>
        <v>0.962979223072651</v>
      </c>
      <c r="AC97" s="4">
        <f t="shared" si="18"/>
        <v>0.807526852209046</v>
      </c>
      <c r="AD97" s="4">
        <f t="shared" si="18"/>
        <v>0.78181628401897</v>
      </c>
      <c r="AE97" s="4">
        <f t="shared" si="18"/>
        <v>0.676965542082765</v>
      </c>
      <c r="AF97" s="4">
        <f t="shared" si="18"/>
        <v>0.615814566385658</v>
      </c>
      <c r="AG97" s="4">
        <f t="shared" si="18"/>
        <v>0.56995571398149</v>
      </c>
      <c r="AH97" s="4">
        <f t="shared" si="17"/>
        <v>0.398111925068944</v>
      </c>
      <c r="AI97" s="4">
        <f t="shared" si="17"/>
        <v>0.301141542750569</v>
      </c>
      <c r="AJ97" s="4">
        <f t="shared" si="17"/>
        <v>0.254907408174699</v>
      </c>
    </row>
    <row r="98" spans="1:36">
      <c r="A98" t="str">
        <f>"semis_procurement_archetype_"&amp;TEXT(ROUND(Table26916[[#This Row],[2016]],3),"0.0")</f>
        <v>semis_procurement_archetype_10.7</v>
      </c>
      <c r="B98" s="4">
        <f t="shared" si="13"/>
        <v>10.7</v>
      </c>
      <c r="C98" s="4">
        <f t="shared" si="19"/>
        <v>10.7</v>
      </c>
      <c r="D98" s="4">
        <f t="shared" si="19"/>
        <v>10.7</v>
      </c>
      <c r="E98" s="4">
        <f t="shared" si="19"/>
        <v>10.4468372646833</v>
      </c>
      <c r="F98" s="4">
        <f t="shared" si="19"/>
        <v>9.83480158728931</v>
      </c>
      <c r="G98" s="4">
        <f t="shared" si="19"/>
        <v>9.92036567101539</v>
      </c>
      <c r="H98" s="4">
        <f t="shared" si="19"/>
        <v>9.654705431715</v>
      </c>
      <c r="I98" s="4">
        <f t="shared" si="19"/>
        <v>9.14080404851967</v>
      </c>
      <c r="J98" s="4">
        <f t="shared" si="19"/>
        <v>8.85212004122681</v>
      </c>
      <c r="K98" s="4">
        <f t="shared" si="19"/>
        <v>8.55577980465148</v>
      </c>
      <c r="L98" s="4">
        <f t="shared" si="19"/>
        <v>8.08767571912928</v>
      </c>
      <c r="M98" s="4">
        <f t="shared" si="19"/>
        <v>8.03086243467446</v>
      </c>
      <c r="N98" s="4">
        <f t="shared" si="19"/>
        <v>7.64730871269924</v>
      </c>
      <c r="O98" s="4">
        <f t="shared" si="19"/>
        <v>7.24959539759754</v>
      </c>
      <c r="P98" s="4">
        <f t="shared" si="19"/>
        <v>6.7794159457951</v>
      </c>
      <c r="Q98" s="4">
        <f t="shared" si="19"/>
        <v>5.86153639726843</v>
      </c>
      <c r="R98" s="4">
        <f t="shared" si="19"/>
        <v>4.62328774149251</v>
      </c>
      <c r="S98" s="4">
        <f t="shared" si="18"/>
        <v>4.22840780554526</v>
      </c>
      <c r="T98" s="4">
        <f t="shared" si="18"/>
        <v>3.3700499812362</v>
      </c>
      <c r="U98" s="4">
        <f t="shared" si="18"/>
        <v>2.50502365839828</v>
      </c>
      <c r="V98" s="4">
        <f t="shared" si="18"/>
        <v>2.33830947989391</v>
      </c>
      <c r="W98" s="4">
        <f t="shared" si="18"/>
        <v>1.8352772393492</v>
      </c>
      <c r="X98" s="4">
        <f t="shared" si="18"/>
        <v>1.58001679245276</v>
      </c>
      <c r="Y98" s="4">
        <f t="shared" si="18"/>
        <v>1.31450312224967</v>
      </c>
      <c r="Z98" s="4">
        <f t="shared" si="18"/>
        <v>1.2730137345554</v>
      </c>
      <c r="AA98" s="4">
        <f t="shared" si="18"/>
        <v>1.14426500839071</v>
      </c>
      <c r="AB98" s="4">
        <f t="shared" si="18"/>
        <v>0.956264518495786</v>
      </c>
      <c r="AC98" s="4">
        <f t="shared" si="18"/>
        <v>0.802286315540238</v>
      </c>
      <c r="AD98" s="4">
        <f t="shared" si="18"/>
        <v>0.776819562830834</v>
      </c>
      <c r="AE98" s="4">
        <f t="shared" si="18"/>
        <v>0.672963129299446</v>
      </c>
      <c r="AF98" s="4">
        <f t="shared" si="18"/>
        <v>0.612392053448306</v>
      </c>
      <c r="AG98" s="4">
        <f t="shared" si="18"/>
        <v>0.566968084398692</v>
      </c>
      <c r="AH98" s="4">
        <f t="shared" si="17"/>
        <v>0.39675390459025</v>
      </c>
      <c r="AI98" s="4">
        <f t="shared" si="17"/>
        <v>0.300703100563615</v>
      </c>
      <c r="AJ98" s="4">
        <f t="shared" si="17"/>
        <v>0.254907408174699</v>
      </c>
    </row>
    <row r="99" spans="1:36">
      <c r="A99" t="str">
        <f>"semis_procurement_archetype_"&amp;TEXT(ROUND(Table26916[[#This Row],[2016]],3),"0.0")</f>
        <v>semis_procurement_archetype_10.6</v>
      </c>
      <c r="B99" s="4">
        <f t="shared" si="13"/>
        <v>10.6</v>
      </c>
      <c r="C99" s="4">
        <f t="shared" si="19"/>
        <v>10.6</v>
      </c>
      <c r="D99" s="4">
        <f t="shared" si="19"/>
        <v>10.6</v>
      </c>
      <c r="E99" s="4">
        <f t="shared" si="19"/>
        <v>10.3492610128032</v>
      </c>
      <c r="F99" s="4">
        <f t="shared" si="19"/>
        <v>9.74308488784509</v>
      </c>
      <c r="G99" s="4">
        <f t="shared" si="19"/>
        <v>9.82782979181787</v>
      </c>
      <c r="H99" s="4">
        <f t="shared" si="19"/>
        <v>9.56471295016537</v>
      </c>
      <c r="I99" s="4">
        <f t="shared" si="19"/>
        <v>9.05573159404187</v>
      </c>
      <c r="J99" s="4">
        <f t="shared" si="19"/>
        <v>8.7698114110498</v>
      </c>
      <c r="K99" s="4">
        <f t="shared" si="19"/>
        <v>8.47630829854943</v>
      </c>
      <c r="L99" s="4">
        <f t="shared" si="19"/>
        <v>8.01268578254332</v>
      </c>
      <c r="M99" s="4">
        <f t="shared" si="19"/>
        <v>7.95641642131326</v>
      </c>
      <c r="N99" s="4">
        <f t="shared" si="19"/>
        <v>7.57653479433005</v>
      </c>
      <c r="O99" s="4">
        <f t="shared" si="19"/>
        <v>7.18262913638032</v>
      </c>
      <c r="P99" s="4">
        <f t="shared" si="19"/>
        <v>6.71695112338915</v>
      </c>
      <c r="Q99" s="4">
        <f t="shared" si="19"/>
        <v>5.80785923797276</v>
      </c>
      <c r="R99" s="4">
        <f t="shared" si="19"/>
        <v>4.58146541876138</v>
      </c>
      <c r="S99" s="4">
        <f t="shared" si="18"/>
        <v>4.19036601355118</v>
      </c>
      <c r="T99" s="4">
        <f t="shared" si="18"/>
        <v>3.34022599886673</v>
      </c>
      <c r="U99" s="4">
        <f t="shared" si="18"/>
        <v>2.48348132901783</v>
      </c>
      <c r="V99" s="4">
        <f t="shared" si="18"/>
        <v>2.31836325104622</v>
      </c>
      <c r="W99" s="4">
        <f t="shared" si="18"/>
        <v>1.82014697777151</v>
      </c>
      <c r="X99" s="4">
        <f t="shared" si="18"/>
        <v>1.56733036222125</v>
      </c>
      <c r="Y99" s="4">
        <f t="shared" si="18"/>
        <v>1.30435868643199</v>
      </c>
      <c r="Z99" s="4">
        <f t="shared" si="18"/>
        <v>1.26326651290628</v>
      </c>
      <c r="AA99" s="4">
        <f t="shared" si="18"/>
        <v>1.13575041081872</v>
      </c>
      <c r="AB99" s="4">
        <f t="shared" si="18"/>
        <v>0.949549813918921</v>
      </c>
      <c r="AC99" s="4">
        <f t="shared" si="18"/>
        <v>0.797045778871431</v>
      </c>
      <c r="AD99" s="4">
        <f t="shared" si="18"/>
        <v>0.771822841642698</v>
      </c>
      <c r="AE99" s="4">
        <f t="shared" si="18"/>
        <v>0.668960716516127</v>
      </c>
      <c r="AF99" s="4">
        <f t="shared" si="18"/>
        <v>0.608969540510954</v>
      </c>
      <c r="AG99" s="4">
        <f t="shared" si="18"/>
        <v>0.563980454815894</v>
      </c>
      <c r="AH99" s="4">
        <f t="shared" si="17"/>
        <v>0.395395884111556</v>
      </c>
      <c r="AI99" s="4">
        <f t="shared" si="17"/>
        <v>0.300264658376662</v>
      </c>
      <c r="AJ99" s="4">
        <f t="shared" si="17"/>
        <v>0.254907408174699</v>
      </c>
    </row>
    <row r="100" spans="1:36">
      <c r="A100" t="str">
        <f>"semis_procurement_archetype_"&amp;TEXT(ROUND(Table26916[[#This Row],[2016]],3),"0.0")</f>
        <v>semis_procurement_archetype_10.5</v>
      </c>
      <c r="B100" s="4">
        <f t="shared" si="13"/>
        <v>10.5</v>
      </c>
      <c r="C100" s="4">
        <f t="shared" si="19"/>
        <v>10.5</v>
      </c>
      <c r="D100" s="4">
        <f t="shared" si="19"/>
        <v>10.5</v>
      </c>
      <c r="E100" s="4">
        <f t="shared" si="19"/>
        <v>10.2516847609231</v>
      </c>
      <c r="F100" s="4">
        <f t="shared" si="19"/>
        <v>9.65136818840087</v>
      </c>
      <c r="G100" s="4">
        <f t="shared" si="19"/>
        <v>9.73529391262035</v>
      </c>
      <c r="H100" s="4">
        <f t="shared" si="19"/>
        <v>9.47472046861574</v>
      </c>
      <c r="I100" s="4">
        <f t="shared" si="19"/>
        <v>8.97065913956406</v>
      </c>
      <c r="J100" s="4">
        <f t="shared" si="19"/>
        <v>8.68750278087278</v>
      </c>
      <c r="K100" s="4">
        <f t="shared" si="19"/>
        <v>8.39683679244738</v>
      </c>
      <c r="L100" s="4">
        <f t="shared" si="19"/>
        <v>7.93769584595736</v>
      </c>
      <c r="M100" s="4">
        <f t="shared" si="19"/>
        <v>7.88197040795206</v>
      </c>
      <c r="N100" s="4">
        <f t="shared" si="19"/>
        <v>7.50576087596087</v>
      </c>
      <c r="O100" s="4">
        <f t="shared" si="19"/>
        <v>7.11566287516309</v>
      </c>
      <c r="P100" s="4">
        <f t="shared" si="19"/>
        <v>6.6544863009832</v>
      </c>
      <c r="Q100" s="4">
        <f t="shared" si="19"/>
        <v>5.7541820786771</v>
      </c>
      <c r="R100" s="4">
        <f t="shared" si="19"/>
        <v>4.53964309603026</v>
      </c>
      <c r="S100" s="4">
        <f t="shared" si="18"/>
        <v>4.15232422155711</v>
      </c>
      <c r="T100" s="4">
        <f t="shared" si="18"/>
        <v>3.31040201649725</v>
      </c>
      <c r="U100" s="4">
        <f t="shared" si="18"/>
        <v>2.46193899963738</v>
      </c>
      <c r="V100" s="4">
        <f t="shared" si="18"/>
        <v>2.29841702219852</v>
      </c>
      <c r="W100" s="4">
        <f t="shared" si="18"/>
        <v>1.80501671619383</v>
      </c>
      <c r="X100" s="4">
        <f t="shared" si="18"/>
        <v>1.55464393198975</v>
      </c>
      <c r="Y100" s="4">
        <f t="shared" si="18"/>
        <v>1.29421425061431</v>
      </c>
      <c r="Z100" s="4">
        <f t="shared" si="18"/>
        <v>1.25351929125716</v>
      </c>
      <c r="AA100" s="4">
        <f t="shared" si="18"/>
        <v>1.12723581324672</v>
      </c>
      <c r="AB100" s="4">
        <f t="shared" si="18"/>
        <v>0.942835109342056</v>
      </c>
      <c r="AC100" s="4">
        <f t="shared" si="18"/>
        <v>0.791805242202623</v>
      </c>
      <c r="AD100" s="4">
        <f t="shared" si="18"/>
        <v>0.766826120454562</v>
      </c>
      <c r="AE100" s="4">
        <f t="shared" si="18"/>
        <v>0.664958303732807</v>
      </c>
      <c r="AF100" s="4">
        <f t="shared" si="18"/>
        <v>0.605547027573602</v>
      </c>
      <c r="AG100" s="4">
        <f t="shared" si="18"/>
        <v>0.560992825233096</v>
      </c>
      <c r="AH100" s="4">
        <f t="shared" si="17"/>
        <v>0.394037863632862</v>
      </c>
      <c r="AI100" s="4">
        <f t="shared" si="17"/>
        <v>0.299826216189708</v>
      </c>
      <c r="AJ100" s="4">
        <f t="shared" si="17"/>
        <v>0.254907408174699</v>
      </c>
    </row>
    <row r="101" spans="1:36">
      <c r="A101" t="str">
        <f>"semis_procurement_archetype_"&amp;TEXT(ROUND(Table26916[[#This Row],[2016]],3),"0.0")</f>
        <v>semis_procurement_archetype_10.4</v>
      </c>
      <c r="B101" s="4">
        <f t="shared" si="13"/>
        <v>10.4</v>
      </c>
      <c r="C101" s="4">
        <f t="shared" si="19"/>
        <v>10.4</v>
      </c>
      <c r="D101" s="4">
        <f t="shared" si="19"/>
        <v>10.4</v>
      </c>
      <c r="E101" s="4">
        <f t="shared" si="19"/>
        <v>10.154108509043</v>
      </c>
      <c r="F101" s="4">
        <f t="shared" si="19"/>
        <v>9.55965148895665</v>
      </c>
      <c r="G101" s="4">
        <f t="shared" si="19"/>
        <v>9.64275803342283</v>
      </c>
      <c r="H101" s="4">
        <f t="shared" si="19"/>
        <v>9.38472798706611</v>
      </c>
      <c r="I101" s="4">
        <f t="shared" si="19"/>
        <v>8.88558668508626</v>
      </c>
      <c r="J101" s="4">
        <f t="shared" si="19"/>
        <v>8.60519415069577</v>
      </c>
      <c r="K101" s="4">
        <f t="shared" si="19"/>
        <v>8.31736528634534</v>
      </c>
      <c r="L101" s="4">
        <f t="shared" si="19"/>
        <v>7.8627059093714</v>
      </c>
      <c r="M101" s="4">
        <f t="shared" si="19"/>
        <v>7.80752439459086</v>
      </c>
      <c r="N101" s="4">
        <f t="shared" si="19"/>
        <v>7.43498695759168</v>
      </c>
      <c r="O101" s="4">
        <f t="shared" si="19"/>
        <v>7.04869661394586</v>
      </c>
      <c r="P101" s="4">
        <f t="shared" si="19"/>
        <v>6.59202147857726</v>
      </c>
      <c r="Q101" s="4">
        <f t="shared" si="19"/>
        <v>5.70050491938143</v>
      </c>
      <c r="R101" s="4">
        <f t="shared" si="19"/>
        <v>4.49782077329914</v>
      </c>
      <c r="S101" s="4">
        <f t="shared" si="18"/>
        <v>4.11428242956304</v>
      </c>
      <c r="T101" s="4">
        <f t="shared" si="18"/>
        <v>3.28057803412777</v>
      </c>
      <c r="U101" s="4">
        <f t="shared" si="18"/>
        <v>2.44039667025694</v>
      </c>
      <c r="V101" s="4">
        <f t="shared" si="18"/>
        <v>2.27847079335082</v>
      </c>
      <c r="W101" s="4">
        <f t="shared" si="18"/>
        <v>1.78988645461614</v>
      </c>
      <c r="X101" s="4">
        <f t="shared" si="18"/>
        <v>1.54195750175824</v>
      </c>
      <c r="Y101" s="4">
        <f t="shared" si="18"/>
        <v>1.28406981479663</v>
      </c>
      <c r="Z101" s="4">
        <f t="shared" si="18"/>
        <v>1.24377206960805</v>
      </c>
      <c r="AA101" s="4">
        <f t="shared" si="18"/>
        <v>1.11872121567473</v>
      </c>
      <c r="AB101" s="4">
        <f t="shared" si="18"/>
        <v>0.936120404765191</v>
      </c>
      <c r="AC101" s="4">
        <f t="shared" si="18"/>
        <v>0.786564705533815</v>
      </c>
      <c r="AD101" s="4">
        <f t="shared" si="18"/>
        <v>0.761829399266426</v>
      </c>
      <c r="AE101" s="4">
        <f t="shared" si="18"/>
        <v>0.660955890949488</v>
      </c>
      <c r="AF101" s="4">
        <f t="shared" si="18"/>
        <v>0.60212451463625</v>
      </c>
      <c r="AG101" s="4">
        <f t="shared" si="18"/>
        <v>0.558005195650298</v>
      </c>
      <c r="AH101" s="4">
        <f t="shared" si="17"/>
        <v>0.392679843154167</v>
      </c>
      <c r="AI101" s="4">
        <f t="shared" si="17"/>
        <v>0.299387774002755</v>
      </c>
      <c r="AJ101" s="4">
        <f t="shared" si="17"/>
        <v>0.254907408174699</v>
      </c>
    </row>
    <row r="102" spans="1:36">
      <c r="A102" t="str">
        <f>"semis_procurement_archetype_"&amp;TEXT(ROUND(Table26916[[#This Row],[2016]],3),"0.0")</f>
        <v>semis_procurement_archetype_10.3</v>
      </c>
      <c r="B102" s="4">
        <f t="shared" si="13"/>
        <v>10.3</v>
      </c>
      <c r="C102" s="4">
        <f t="shared" si="19"/>
        <v>10.3</v>
      </c>
      <c r="D102" s="4">
        <f t="shared" si="19"/>
        <v>10.3</v>
      </c>
      <c r="E102" s="4">
        <f t="shared" si="19"/>
        <v>10.0565322571629</v>
      </c>
      <c r="F102" s="4">
        <f t="shared" si="19"/>
        <v>9.46793478951244</v>
      </c>
      <c r="G102" s="4">
        <f t="shared" si="19"/>
        <v>9.5502221542253</v>
      </c>
      <c r="H102" s="4">
        <f t="shared" si="19"/>
        <v>9.29473550551648</v>
      </c>
      <c r="I102" s="4">
        <f t="shared" si="19"/>
        <v>8.80051423060846</v>
      </c>
      <c r="J102" s="4">
        <f t="shared" si="19"/>
        <v>8.52288552051875</v>
      </c>
      <c r="K102" s="4">
        <f t="shared" si="19"/>
        <v>8.23789378024329</v>
      </c>
      <c r="L102" s="4">
        <f t="shared" si="19"/>
        <v>7.78771597278544</v>
      </c>
      <c r="M102" s="4">
        <f t="shared" si="19"/>
        <v>7.73307838122967</v>
      </c>
      <c r="N102" s="4">
        <f t="shared" si="19"/>
        <v>7.36421303922249</v>
      </c>
      <c r="O102" s="4">
        <f t="shared" si="19"/>
        <v>6.98173035272864</v>
      </c>
      <c r="P102" s="4">
        <f t="shared" si="19"/>
        <v>6.52955665617131</v>
      </c>
      <c r="Q102" s="4">
        <f t="shared" si="19"/>
        <v>5.64682776008577</v>
      </c>
      <c r="R102" s="4">
        <f t="shared" si="19"/>
        <v>4.45599845056801</v>
      </c>
      <c r="S102" s="4">
        <f t="shared" si="18"/>
        <v>4.07624063756896</v>
      </c>
      <c r="T102" s="4">
        <f t="shared" si="18"/>
        <v>3.2507540517583</v>
      </c>
      <c r="U102" s="4">
        <f t="shared" si="18"/>
        <v>2.41885434087649</v>
      </c>
      <c r="V102" s="4">
        <f t="shared" si="18"/>
        <v>2.25852456450313</v>
      </c>
      <c r="W102" s="4">
        <f t="shared" si="18"/>
        <v>1.77475619303846</v>
      </c>
      <c r="X102" s="4">
        <f t="shared" si="18"/>
        <v>1.52927107152674</v>
      </c>
      <c r="Y102" s="4">
        <f t="shared" si="18"/>
        <v>1.27392537897895</v>
      </c>
      <c r="Z102" s="4">
        <f t="shared" si="18"/>
        <v>1.23402484795893</v>
      </c>
      <c r="AA102" s="4">
        <f t="shared" si="18"/>
        <v>1.11020661810274</v>
      </c>
      <c r="AB102" s="4">
        <f t="shared" si="18"/>
        <v>0.929405700188326</v>
      </c>
      <c r="AC102" s="4">
        <f t="shared" si="18"/>
        <v>0.781324168865007</v>
      </c>
      <c r="AD102" s="4">
        <f t="shared" si="18"/>
        <v>0.756832678078291</v>
      </c>
      <c r="AE102" s="4">
        <f t="shared" si="18"/>
        <v>0.656953478166169</v>
      </c>
      <c r="AF102" s="4">
        <f t="shared" si="18"/>
        <v>0.598702001698898</v>
      </c>
      <c r="AG102" s="4">
        <f t="shared" si="18"/>
        <v>0.555017566067501</v>
      </c>
      <c r="AH102" s="4">
        <f t="shared" si="17"/>
        <v>0.391321822675473</v>
      </c>
      <c r="AI102" s="4">
        <f t="shared" si="17"/>
        <v>0.298949331815801</v>
      </c>
      <c r="AJ102" s="4">
        <f t="shared" si="17"/>
        <v>0.254907408174699</v>
      </c>
    </row>
    <row r="103" spans="1:36">
      <c r="A103" t="str">
        <f>"semis_procurement_archetype_"&amp;TEXT(ROUND(Table26916[[#This Row],[2016]],3),"0.0")</f>
        <v>semis_procurement_archetype_10.2</v>
      </c>
      <c r="B103" s="4">
        <f t="shared" si="13"/>
        <v>10.2</v>
      </c>
      <c r="C103" s="4">
        <f t="shared" si="19"/>
        <v>10.2</v>
      </c>
      <c r="D103" s="4">
        <f t="shared" si="19"/>
        <v>10.2</v>
      </c>
      <c r="E103" s="4">
        <f t="shared" si="19"/>
        <v>9.9589560052828</v>
      </c>
      <c r="F103" s="4">
        <f t="shared" si="19"/>
        <v>9.37621809006822</v>
      </c>
      <c r="G103" s="4">
        <f t="shared" si="19"/>
        <v>9.45768627502778</v>
      </c>
      <c r="H103" s="4">
        <f t="shared" si="19"/>
        <v>9.20474302396685</v>
      </c>
      <c r="I103" s="4">
        <f t="shared" si="19"/>
        <v>8.71544177613066</v>
      </c>
      <c r="J103" s="4">
        <f t="shared" si="19"/>
        <v>8.44057689034174</v>
      </c>
      <c r="K103" s="4">
        <f t="shared" si="19"/>
        <v>8.15842227414125</v>
      </c>
      <c r="L103" s="4">
        <f t="shared" si="19"/>
        <v>7.71272603619948</v>
      </c>
      <c r="M103" s="4">
        <f t="shared" si="19"/>
        <v>7.65863236786847</v>
      </c>
      <c r="N103" s="4">
        <f t="shared" si="19"/>
        <v>7.2934391208533</v>
      </c>
      <c r="O103" s="4">
        <f t="shared" si="19"/>
        <v>6.91476409151141</v>
      </c>
      <c r="P103" s="4">
        <f t="shared" si="19"/>
        <v>6.46709183376537</v>
      </c>
      <c r="Q103" s="4">
        <f t="shared" si="19"/>
        <v>5.59315060079011</v>
      </c>
      <c r="R103" s="4">
        <f t="shared" si="19"/>
        <v>4.41417612783689</v>
      </c>
      <c r="S103" s="4">
        <f t="shared" si="18"/>
        <v>4.03819884557489</v>
      </c>
      <c r="T103" s="4">
        <f t="shared" si="18"/>
        <v>3.22093006938882</v>
      </c>
      <c r="U103" s="4">
        <f t="shared" si="18"/>
        <v>2.39731201149605</v>
      </c>
      <c r="V103" s="4">
        <f t="shared" si="18"/>
        <v>2.23857833565543</v>
      </c>
      <c r="W103" s="4">
        <f t="shared" si="18"/>
        <v>1.75962593146077</v>
      </c>
      <c r="X103" s="4">
        <f t="shared" si="18"/>
        <v>1.51658464129523</v>
      </c>
      <c r="Y103" s="4">
        <f t="shared" si="18"/>
        <v>1.26378094316127</v>
      </c>
      <c r="Z103" s="4">
        <f t="shared" si="18"/>
        <v>1.22427762630981</v>
      </c>
      <c r="AA103" s="4">
        <f t="shared" si="18"/>
        <v>1.10169202053074</v>
      </c>
      <c r="AB103" s="4">
        <f t="shared" si="18"/>
        <v>0.922690995611461</v>
      </c>
      <c r="AC103" s="4">
        <f t="shared" si="18"/>
        <v>0.776083632196199</v>
      </c>
      <c r="AD103" s="4">
        <f t="shared" si="18"/>
        <v>0.751835956890155</v>
      </c>
      <c r="AE103" s="4">
        <f t="shared" si="18"/>
        <v>0.65295106538285</v>
      </c>
      <c r="AF103" s="4">
        <f t="shared" si="18"/>
        <v>0.595279488761546</v>
      </c>
      <c r="AG103" s="4">
        <f t="shared" si="18"/>
        <v>0.552029936484703</v>
      </c>
      <c r="AH103" s="4">
        <f t="shared" si="17"/>
        <v>0.389963802196779</v>
      </c>
      <c r="AI103" s="4">
        <f t="shared" si="17"/>
        <v>0.298510889628848</v>
      </c>
      <c r="AJ103" s="4">
        <f t="shared" si="17"/>
        <v>0.254907408174699</v>
      </c>
    </row>
    <row r="104" spans="1:36">
      <c r="A104" t="str">
        <f>"semis_procurement_archetype_"&amp;TEXT(ROUND(Table26916[[#This Row],[2016]],3),"0.0")</f>
        <v>semis_procurement_archetype_10.1</v>
      </c>
      <c r="B104" s="4">
        <f t="shared" si="13"/>
        <v>10.1</v>
      </c>
      <c r="C104" s="4">
        <f t="shared" si="19"/>
        <v>10.1</v>
      </c>
      <c r="D104" s="4">
        <f t="shared" si="19"/>
        <v>10.1</v>
      </c>
      <c r="E104" s="4">
        <f t="shared" si="19"/>
        <v>9.86137975340271</v>
      </c>
      <c r="F104" s="4">
        <f t="shared" si="19"/>
        <v>9.284501390624</v>
      </c>
      <c r="G104" s="4">
        <f t="shared" si="19"/>
        <v>9.36515039583026</v>
      </c>
      <c r="H104" s="4">
        <f t="shared" si="19"/>
        <v>9.11475054241722</v>
      </c>
      <c r="I104" s="4">
        <f t="shared" si="19"/>
        <v>8.63036932165285</v>
      </c>
      <c r="J104" s="4">
        <f t="shared" si="19"/>
        <v>8.35826826016473</v>
      </c>
      <c r="K104" s="4">
        <f t="shared" si="19"/>
        <v>8.0789507680392</v>
      </c>
      <c r="L104" s="4">
        <f t="shared" si="19"/>
        <v>7.63773609961352</v>
      </c>
      <c r="M104" s="4">
        <f t="shared" si="19"/>
        <v>7.58418635450727</v>
      </c>
      <c r="N104" s="4">
        <f t="shared" si="19"/>
        <v>7.22266520248411</v>
      </c>
      <c r="O104" s="4">
        <f t="shared" si="19"/>
        <v>6.84779783029419</v>
      </c>
      <c r="P104" s="4">
        <f t="shared" si="19"/>
        <v>6.40462701135942</v>
      </c>
      <c r="Q104" s="4">
        <f t="shared" si="19"/>
        <v>5.53947344149444</v>
      </c>
      <c r="R104" s="4">
        <f t="shared" si="19"/>
        <v>4.37235380510577</v>
      </c>
      <c r="S104" s="4">
        <f t="shared" si="18"/>
        <v>4.00015705358082</v>
      </c>
      <c r="T104" s="4">
        <f t="shared" si="18"/>
        <v>3.19110608701934</v>
      </c>
      <c r="U104" s="4">
        <f t="shared" si="18"/>
        <v>2.3757696821156</v>
      </c>
      <c r="V104" s="4">
        <f t="shared" si="18"/>
        <v>2.21863210680774</v>
      </c>
      <c r="W104" s="4">
        <f t="shared" si="18"/>
        <v>1.74449566988309</v>
      </c>
      <c r="X104" s="4">
        <f t="shared" si="18"/>
        <v>1.50389821106373</v>
      </c>
      <c r="Y104" s="4">
        <f t="shared" si="18"/>
        <v>1.25363650734359</v>
      </c>
      <c r="Z104" s="4">
        <f t="shared" si="18"/>
        <v>1.2145304046607</v>
      </c>
      <c r="AA104" s="4">
        <f t="shared" si="18"/>
        <v>1.09317742295875</v>
      </c>
      <c r="AB104" s="4">
        <f t="shared" si="18"/>
        <v>0.915976291034596</v>
      </c>
      <c r="AC104" s="4">
        <f t="shared" si="18"/>
        <v>0.770843095527391</v>
      </c>
      <c r="AD104" s="4">
        <f t="shared" si="18"/>
        <v>0.746839235702019</v>
      </c>
      <c r="AE104" s="4">
        <f t="shared" si="18"/>
        <v>0.64894865259953</v>
      </c>
      <c r="AF104" s="4">
        <f t="shared" si="18"/>
        <v>0.591856975824194</v>
      </c>
      <c r="AG104" s="4">
        <f t="shared" si="18"/>
        <v>0.549042306901905</v>
      </c>
      <c r="AH104" s="4">
        <f t="shared" si="17"/>
        <v>0.388605781718085</v>
      </c>
      <c r="AI104" s="4">
        <f t="shared" si="17"/>
        <v>0.298072447441894</v>
      </c>
      <c r="AJ104" s="4">
        <f t="shared" si="17"/>
        <v>0.254907408174699</v>
      </c>
    </row>
    <row r="105" spans="1:36">
      <c r="A105" t="str">
        <f>"semis_procurement_archetype_"&amp;TEXT(ROUND(Table26916[[#This Row],[2016]],3),"0.0")</f>
        <v>semis_procurement_archetype_10.0</v>
      </c>
      <c r="B105" s="4">
        <f t="shared" si="13"/>
        <v>10</v>
      </c>
      <c r="C105" s="4">
        <f t="shared" si="19"/>
        <v>10</v>
      </c>
      <c r="D105" s="4">
        <f t="shared" si="19"/>
        <v>10</v>
      </c>
      <c r="E105" s="4">
        <f t="shared" si="19"/>
        <v>9.76380350152261</v>
      </c>
      <c r="F105" s="4">
        <f t="shared" si="19"/>
        <v>9.19278469117979</v>
      </c>
      <c r="G105" s="4">
        <f t="shared" si="19"/>
        <v>9.27261451663274</v>
      </c>
      <c r="H105" s="4">
        <f t="shared" si="19"/>
        <v>9.02475806086759</v>
      </c>
      <c r="I105" s="4">
        <f t="shared" si="19"/>
        <v>8.54529686717505</v>
      </c>
      <c r="J105" s="4">
        <f t="shared" si="19"/>
        <v>8.27595962998771</v>
      </c>
      <c r="K105" s="4">
        <f t="shared" si="19"/>
        <v>7.99947926193715</v>
      </c>
      <c r="L105" s="4">
        <f t="shared" si="19"/>
        <v>7.56274616302756</v>
      </c>
      <c r="M105" s="4">
        <f t="shared" si="19"/>
        <v>7.50974034114607</v>
      </c>
      <c r="N105" s="4">
        <f t="shared" si="19"/>
        <v>7.15189128411493</v>
      </c>
      <c r="O105" s="4">
        <f t="shared" si="19"/>
        <v>6.78083156907696</v>
      </c>
      <c r="P105" s="4">
        <f t="shared" si="19"/>
        <v>6.34216218895347</v>
      </c>
      <c r="Q105" s="4">
        <f t="shared" si="19"/>
        <v>5.48579628219878</v>
      </c>
      <c r="R105" s="4">
        <f t="shared" si="19"/>
        <v>4.33053148237464</v>
      </c>
      <c r="S105" s="4">
        <f t="shared" si="18"/>
        <v>3.96211526158674</v>
      </c>
      <c r="T105" s="4">
        <f t="shared" si="18"/>
        <v>3.16128210464987</v>
      </c>
      <c r="U105" s="4">
        <f t="shared" si="18"/>
        <v>2.35422735273515</v>
      </c>
      <c r="V105" s="4">
        <f t="shared" si="18"/>
        <v>2.19868587796004</v>
      </c>
      <c r="W105" s="4">
        <f t="shared" si="18"/>
        <v>1.7293654083054</v>
      </c>
      <c r="X105" s="4">
        <f t="shared" si="18"/>
        <v>1.49121178083222</v>
      </c>
      <c r="Y105" s="4">
        <f t="shared" si="18"/>
        <v>1.24349207152591</v>
      </c>
      <c r="Z105" s="4">
        <f t="shared" si="18"/>
        <v>1.20478318301158</v>
      </c>
      <c r="AA105" s="4">
        <f t="shared" si="18"/>
        <v>1.08466282538676</v>
      </c>
      <c r="AB105" s="4">
        <f t="shared" si="18"/>
        <v>0.90926158645773</v>
      </c>
      <c r="AC105" s="4">
        <f t="shared" si="18"/>
        <v>0.765602558858583</v>
      </c>
      <c r="AD105" s="4">
        <f t="shared" si="18"/>
        <v>0.741842514513883</v>
      </c>
      <c r="AE105" s="4">
        <f t="shared" si="18"/>
        <v>0.644946239816211</v>
      </c>
      <c r="AF105" s="4">
        <f t="shared" si="18"/>
        <v>0.588434462886843</v>
      </c>
      <c r="AG105" s="4">
        <f t="shared" si="18"/>
        <v>0.546054677319107</v>
      </c>
      <c r="AH105" s="4">
        <f t="shared" si="17"/>
        <v>0.387247761239391</v>
      </c>
      <c r="AI105" s="4">
        <f t="shared" si="17"/>
        <v>0.297634005254941</v>
      </c>
      <c r="AJ105" s="4">
        <f t="shared" si="17"/>
        <v>0.254907408174699</v>
      </c>
    </row>
    <row r="106" spans="1:36">
      <c r="A106" t="str">
        <f>"semis_procurement_archetype_"&amp;TEXT(ROUND(Table26916[[#This Row],[2016]],3),"0.0")</f>
        <v>semis_procurement_archetype_9.9</v>
      </c>
      <c r="B106" s="4">
        <f t="shared" si="13"/>
        <v>9.9</v>
      </c>
      <c r="C106" s="4">
        <f t="shared" si="19"/>
        <v>9.9</v>
      </c>
      <c r="D106" s="4">
        <f t="shared" si="19"/>
        <v>9.9</v>
      </c>
      <c r="E106" s="4">
        <f t="shared" si="19"/>
        <v>9.66622724964252</v>
      </c>
      <c r="F106" s="4">
        <f t="shared" si="19"/>
        <v>9.10106799173557</v>
      </c>
      <c r="G106" s="4">
        <f t="shared" si="19"/>
        <v>9.18007863743522</v>
      </c>
      <c r="H106" s="4">
        <f t="shared" si="19"/>
        <v>8.93476557931795</v>
      </c>
      <c r="I106" s="4">
        <f t="shared" si="19"/>
        <v>8.46022441269725</v>
      </c>
      <c r="J106" s="4">
        <f t="shared" si="19"/>
        <v>8.1936509998107</v>
      </c>
      <c r="K106" s="4">
        <f t="shared" si="19"/>
        <v>7.92000775583511</v>
      </c>
      <c r="L106" s="4">
        <f t="shared" si="19"/>
        <v>7.4877562264416</v>
      </c>
      <c r="M106" s="4">
        <f t="shared" si="19"/>
        <v>7.43529432778488</v>
      </c>
      <c r="N106" s="4">
        <f t="shared" si="19"/>
        <v>7.08111736574574</v>
      </c>
      <c r="O106" s="4">
        <f t="shared" si="19"/>
        <v>6.71386530785974</v>
      </c>
      <c r="P106" s="4">
        <f t="shared" si="19"/>
        <v>6.27969736654752</v>
      </c>
      <c r="Q106" s="4">
        <f t="shared" si="19"/>
        <v>5.43211912290311</v>
      </c>
      <c r="R106" s="4">
        <f t="shared" si="19"/>
        <v>4.28870915964352</v>
      </c>
      <c r="S106" s="4">
        <f t="shared" si="18"/>
        <v>3.92407346959267</v>
      </c>
      <c r="T106" s="4">
        <f t="shared" si="18"/>
        <v>3.13145812228039</v>
      </c>
      <c r="U106" s="4">
        <f t="shared" si="18"/>
        <v>2.33268502335471</v>
      </c>
      <c r="V106" s="4">
        <f t="shared" si="18"/>
        <v>2.17873964911234</v>
      </c>
      <c r="W106" s="4">
        <f t="shared" si="18"/>
        <v>1.71423514672772</v>
      </c>
      <c r="X106" s="4">
        <f t="shared" si="18"/>
        <v>1.47852535060072</v>
      </c>
      <c r="Y106" s="4">
        <f t="shared" si="18"/>
        <v>1.23334763570823</v>
      </c>
      <c r="Z106" s="4">
        <f t="shared" si="18"/>
        <v>1.19503596136246</v>
      </c>
      <c r="AA106" s="4">
        <f t="shared" si="18"/>
        <v>1.07614822781476</v>
      </c>
      <c r="AB106" s="4">
        <f t="shared" si="18"/>
        <v>0.902546881880866</v>
      </c>
      <c r="AC106" s="4">
        <f t="shared" si="18"/>
        <v>0.760362022189775</v>
      </c>
      <c r="AD106" s="4">
        <f t="shared" si="18"/>
        <v>0.736845793325748</v>
      </c>
      <c r="AE106" s="4">
        <f t="shared" si="18"/>
        <v>0.640943827032892</v>
      </c>
      <c r="AF106" s="4">
        <f t="shared" si="18"/>
        <v>0.585011949949491</v>
      </c>
      <c r="AG106" s="4">
        <f t="shared" si="18"/>
        <v>0.54306704773631</v>
      </c>
      <c r="AH106" s="4">
        <f t="shared" si="17"/>
        <v>0.385889740760697</v>
      </c>
      <c r="AI106" s="4">
        <f t="shared" si="17"/>
        <v>0.297195563067987</v>
      </c>
      <c r="AJ106" s="4">
        <f t="shared" si="17"/>
        <v>0.254907408174699</v>
      </c>
    </row>
    <row r="107" spans="1:36">
      <c r="A107" t="str">
        <f>"semis_procurement_archetype_"&amp;TEXT(ROUND(Table26916[[#This Row],[2016]],3),"0.0")</f>
        <v>semis_procurement_archetype_9.8</v>
      </c>
      <c r="B107" s="4">
        <f t="shared" si="13"/>
        <v>9.8</v>
      </c>
      <c r="C107" s="4">
        <f t="shared" si="19"/>
        <v>9.8</v>
      </c>
      <c r="D107" s="4">
        <f t="shared" si="19"/>
        <v>9.8</v>
      </c>
      <c r="E107" s="4">
        <f t="shared" si="19"/>
        <v>9.56865099776242</v>
      </c>
      <c r="F107" s="4">
        <f t="shared" si="19"/>
        <v>9.00935129229135</v>
      </c>
      <c r="G107" s="4">
        <f t="shared" si="19"/>
        <v>9.0875427582377</v>
      </c>
      <c r="H107" s="4">
        <f t="shared" si="19"/>
        <v>8.84477309776832</v>
      </c>
      <c r="I107" s="4">
        <f t="shared" si="19"/>
        <v>8.37515195821944</v>
      </c>
      <c r="J107" s="4">
        <f t="shared" si="19"/>
        <v>8.11134236963369</v>
      </c>
      <c r="K107" s="4">
        <f t="shared" si="19"/>
        <v>7.84053624973306</v>
      </c>
      <c r="L107" s="4">
        <f t="shared" si="19"/>
        <v>7.41276628985564</v>
      </c>
      <c r="M107" s="4">
        <f t="shared" si="19"/>
        <v>7.36084831442368</v>
      </c>
      <c r="N107" s="4">
        <f t="shared" si="19"/>
        <v>7.01034344737655</v>
      </c>
      <c r="O107" s="4">
        <f t="shared" si="19"/>
        <v>6.64689904664251</v>
      </c>
      <c r="P107" s="4">
        <f t="shared" si="19"/>
        <v>6.21723254414158</v>
      </c>
      <c r="Q107" s="4">
        <f t="shared" si="19"/>
        <v>5.37844196360745</v>
      </c>
      <c r="R107" s="4">
        <f t="shared" si="19"/>
        <v>4.2468868369124</v>
      </c>
      <c r="S107" s="4">
        <f t="shared" si="18"/>
        <v>3.88603167759859</v>
      </c>
      <c r="T107" s="4">
        <f t="shared" si="18"/>
        <v>3.10163413991091</v>
      </c>
      <c r="U107" s="4">
        <f t="shared" si="18"/>
        <v>2.31114269397426</v>
      </c>
      <c r="V107" s="4">
        <f t="shared" si="18"/>
        <v>2.15879342026465</v>
      </c>
      <c r="W107" s="4">
        <f t="shared" si="18"/>
        <v>1.69910488515004</v>
      </c>
      <c r="X107" s="4">
        <f t="shared" si="18"/>
        <v>1.46583892036921</v>
      </c>
      <c r="Y107" s="4">
        <f t="shared" si="18"/>
        <v>1.22320319989055</v>
      </c>
      <c r="Z107" s="4">
        <f t="shared" si="18"/>
        <v>1.18528873971334</v>
      </c>
      <c r="AA107" s="4">
        <f t="shared" si="18"/>
        <v>1.06763363024277</v>
      </c>
      <c r="AB107" s="4">
        <f t="shared" si="18"/>
        <v>0.895832177304</v>
      </c>
      <c r="AC107" s="4">
        <f t="shared" si="18"/>
        <v>0.755121485520968</v>
      </c>
      <c r="AD107" s="4">
        <f t="shared" si="18"/>
        <v>0.731849072137612</v>
      </c>
      <c r="AE107" s="4">
        <f t="shared" si="18"/>
        <v>0.636941414249573</v>
      </c>
      <c r="AF107" s="4">
        <f t="shared" si="18"/>
        <v>0.581589437012139</v>
      </c>
      <c r="AG107" s="4">
        <f t="shared" si="18"/>
        <v>0.540079418153512</v>
      </c>
      <c r="AH107" s="4">
        <f t="shared" si="17"/>
        <v>0.384531720282003</v>
      </c>
      <c r="AI107" s="4">
        <f t="shared" si="17"/>
        <v>0.296757120881034</v>
      </c>
      <c r="AJ107" s="4">
        <f t="shared" si="17"/>
        <v>0.254907408174699</v>
      </c>
    </row>
    <row r="108" spans="1:36">
      <c r="A108" t="str">
        <f>"semis_procurement_archetype_"&amp;TEXT(ROUND(Table26916[[#This Row],[2016]],3),"0.0")</f>
        <v>semis_procurement_archetype_9.7</v>
      </c>
      <c r="B108" s="4">
        <f t="shared" si="13"/>
        <v>9.7</v>
      </c>
      <c r="C108" s="4">
        <f t="shared" si="19"/>
        <v>9.7</v>
      </c>
      <c r="D108" s="4">
        <f t="shared" si="19"/>
        <v>9.7</v>
      </c>
      <c r="E108" s="4">
        <f t="shared" si="19"/>
        <v>9.47107474588233</v>
      </c>
      <c r="F108" s="4">
        <f t="shared" si="19"/>
        <v>8.91763459284713</v>
      </c>
      <c r="G108" s="4">
        <f t="shared" si="19"/>
        <v>8.99500687904018</v>
      </c>
      <c r="H108" s="4">
        <f t="shared" si="19"/>
        <v>8.75478061621869</v>
      </c>
      <c r="I108" s="4">
        <f t="shared" si="19"/>
        <v>8.29007950374164</v>
      </c>
      <c r="J108" s="4">
        <f t="shared" si="19"/>
        <v>8.02903373945668</v>
      </c>
      <c r="K108" s="4">
        <f t="shared" si="19"/>
        <v>7.76106474363102</v>
      </c>
      <c r="L108" s="4">
        <f t="shared" si="19"/>
        <v>7.33777635326968</v>
      </c>
      <c r="M108" s="4">
        <f t="shared" si="19"/>
        <v>7.28640230106248</v>
      </c>
      <c r="N108" s="4">
        <f t="shared" si="19"/>
        <v>6.93956952900736</v>
      </c>
      <c r="O108" s="4">
        <f t="shared" si="19"/>
        <v>6.57993278542528</v>
      </c>
      <c r="P108" s="4">
        <f t="shared" si="19"/>
        <v>6.15476772173563</v>
      </c>
      <c r="Q108" s="4">
        <f t="shared" si="19"/>
        <v>5.32476480431178</v>
      </c>
      <c r="R108" s="4">
        <f t="shared" ref="R108:AG123" si="20">(($B108-$AJ$2)*((R$2-$AJ$2)/($B$2-$AJ$2)))+$AJ$2</f>
        <v>4.20506451418128</v>
      </c>
      <c r="S108" s="4">
        <f t="shared" si="20"/>
        <v>3.84798988560452</v>
      </c>
      <c r="T108" s="4">
        <f t="shared" si="20"/>
        <v>3.07181015754144</v>
      </c>
      <c r="U108" s="4">
        <f t="shared" si="20"/>
        <v>2.28960036459382</v>
      </c>
      <c r="V108" s="4">
        <f t="shared" si="20"/>
        <v>2.13884719141695</v>
      </c>
      <c r="W108" s="4">
        <f t="shared" si="20"/>
        <v>1.68397462357235</v>
      </c>
      <c r="X108" s="4">
        <f t="shared" si="20"/>
        <v>1.4531524901377</v>
      </c>
      <c r="Y108" s="4">
        <f t="shared" si="20"/>
        <v>1.21305876407287</v>
      </c>
      <c r="Z108" s="4">
        <f t="shared" si="20"/>
        <v>1.17554151806423</v>
      </c>
      <c r="AA108" s="4">
        <f t="shared" si="20"/>
        <v>1.05911903267078</v>
      </c>
      <c r="AB108" s="4">
        <f t="shared" si="20"/>
        <v>0.889117472727135</v>
      </c>
      <c r="AC108" s="4">
        <f t="shared" si="20"/>
        <v>0.74988094885216</v>
      </c>
      <c r="AD108" s="4">
        <f t="shared" si="20"/>
        <v>0.726852350949476</v>
      </c>
      <c r="AE108" s="4">
        <f t="shared" si="20"/>
        <v>0.632939001466253</v>
      </c>
      <c r="AF108" s="4">
        <f t="shared" si="20"/>
        <v>0.578166924074787</v>
      </c>
      <c r="AG108" s="4">
        <f t="shared" si="20"/>
        <v>0.537091788570714</v>
      </c>
      <c r="AH108" s="4">
        <f t="shared" si="17"/>
        <v>0.383173699803309</v>
      </c>
      <c r="AI108" s="4">
        <f t="shared" si="17"/>
        <v>0.29631867869408</v>
      </c>
      <c r="AJ108" s="4">
        <f t="shared" si="17"/>
        <v>0.254907408174699</v>
      </c>
    </row>
    <row r="109" spans="1:36">
      <c r="A109" t="str">
        <f>"semis_procurement_archetype_"&amp;TEXT(ROUND(Table26916[[#This Row],[2016]],3),"0.0")</f>
        <v>semis_procurement_archetype_9.6</v>
      </c>
      <c r="B109" s="4">
        <f t="shared" si="13"/>
        <v>9.6</v>
      </c>
      <c r="C109" s="4">
        <f t="shared" ref="C109:R124" si="21">(($B109-$AJ$2)*((C$2-$AJ$2)/($B$2-$AJ$2)))+$AJ$2</f>
        <v>9.6</v>
      </c>
      <c r="D109" s="4">
        <f t="shared" si="21"/>
        <v>9.6</v>
      </c>
      <c r="E109" s="4">
        <f t="shared" si="21"/>
        <v>9.37349849400223</v>
      </c>
      <c r="F109" s="4">
        <f t="shared" si="21"/>
        <v>8.82591789340292</v>
      </c>
      <c r="G109" s="4">
        <f t="shared" si="21"/>
        <v>8.90247099984266</v>
      </c>
      <c r="H109" s="4">
        <f t="shared" si="21"/>
        <v>8.66478813466906</v>
      </c>
      <c r="I109" s="4">
        <f t="shared" si="21"/>
        <v>8.20500704926384</v>
      </c>
      <c r="J109" s="4">
        <f t="shared" si="21"/>
        <v>7.94672510927966</v>
      </c>
      <c r="K109" s="4">
        <f t="shared" si="21"/>
        <v>7.68159323752897</v>
      </c>
      <c r="L109" s="4">
        <f t="shared" si="21"/>
        <v>7.26278641668372</v>
      </c>
      <c r="M109" s="4">
        <f t="shared" si="21"/>
        <v>7.21195628770128</v>
      </c>
      <c r="N109" s="4">
        <f t="shared" si="21"/>
        <v>6.86879561063817</v>
      </c>
      <c r="O109" s="4">
        <f t="shared" si="21"/>
        <v>6.51296652420806</v>
      </c>
      <c r="P109" s="4">
        <f t="shared" si="21"/>
        <v>6.09230289932968</v>
      </c>
      <c r="Q109" s="4">
        <f t="shared" si="21"/>
        <v>5.27108764501612</v>
      </c>
      <c r="R109" s="4">
        <f t="shared" si="21"/>
        <v>4.16324219145015</v>
      </c>
      <c r="S109" s="4">
        <f t="shared" si="20"/>
        <v>3.80994809361045</v>
      </c>
      <c r="T109" s="4">
        <f t="shared" si="20"/>
        <v>3.04198617517196</v>
      </c>
      <c r="U109" s="4">
        <f t="shared" si="20"/>
        <v>2.26805803521337</v>
      </c>
      <c r="V109" s="4">
        <f t="shared" si="20"/>
        <v>2.11890096256926</v>
      </c>
      <c r="W109" s="4">
        <f t="shared" si="20"/>
        <v>1.66884436199467</v>
      </c>
      <c r="X109" s="4">
        <f t="shared" si="20"/>
        <v>1.4404660599062</v>
      </c>
      <c r="Y109" s="4">
        <f t="shared" si="20"/>
        <v>1.20291432825519</v>
      </c>
      <c r="Z109" s="4">
        <f t="shared" si="20"/>
        <v>1.16579429641511</v>
      </c>
      <c r="AA109" s="4">
        <f t="shared" si="20"/>
        <v>1.05060443509878</v>
      </c>
      <c r="AB109" s="4">
        <f t="shared" si="20"/>
        <v>0.88240276815027</v>
      </c>
      <c r="AC109" s="4">
        <f t="shared" si="20"/>
        <v>0.744640412183352</v>
      </c>
      <c r="AD109" s="4">
        <f t="shared" si="20"/>
        <v>0.72185562976134</v>
      </c>
      <c r="AE109" s="4">
        <f t="shared" si="20"/>
        <v>0.628936588682934</v>
      </c>
      <c r="AF109" s="4">
        <f t="shared" si="20"/>
        <v>0.574744411137435</v>
      </c>
      <c r="AG109" s="4">
        <f t="shared" si="20"/>
        <v>0.534104158987916</v>
      </c>
      <c r="AH109" s="4">
        <f t="shared" si="17"/>
        <v>0.381815679324614</v>
      </c>
      <c r="AI109" s="4">
        <f t="shared" si="17"/>
        <v>0.295880236507127</v>
      </c>
      <c r="AJ109" s="4">
        <f t="shared" si="17"/>
        <v>0.254907408174699</v>
      </c>
    </row>
    <row r="110" spans="1:36">
      <c r="A110" t="str">
        <f>"semis_procurement_archetype_"&amp;TEXT(ROUND(Table26916[[#This Row],[2016]],3),"0.0")</f>
        <v>semis_procurement_archetype_9.5</v>
      </c>
      <c r="B110" s="4">
        <f t="shared" si="13"/>
        <v>9.5</v>
      </c>
      <c r="C110" s="4">
        <f t="shared" si="21"/>
        <v>9.5</v>
      </c>
      <c r="D110" s="4">
        <f t="shared" si="21"/>
        <v>9.5</v>
      </c>
      <c r="E110" s="4">
        <f t="shared" si="21"/>
        <v>9.27592224212214</v>
      </c>
      <c r="F110" s="4">
        <f t="shared" si="21"/>
        <v>8.7342011939587</v>
      </c>
      <c r="G110" s="4">
        <f t="shared" si="21"/>
        <v>8.80993512064513</v>
      </c>
      <c r="H110" s="4">
        <f t="shared" si="21"/>
        <v>8.57479565311943</v>
      </c>
      <c r="I110" s="4">
        <f t="shared" si="21"/>
        <v>8.11993459478603</v>
      </c>
      <c r="J110" s="4">
        <f t="shared" si="21"/>
        <v>7.86441647910265</v>
      </c>
      <c r="K110" s="4">
        <f t="shared" si="21"/>
        <v>7.60212173142692</v>
      </c>
      <c r="L110" s="4">
        <f t="shared" si="21"/>
        <v>7.18779648009776</v>
      </c>
      <c r="M110" s="4">
        <f t="shared" si="21"/>
        <v>7.13751027434008</v>
      </c>
      <c r="N110" s="4">
        <f t="shared" si="21"/>
        <v>6.79802169226898</v>
      </c>
      <c r="O110" s="4">
        <f t="shared" si="21"/>
        <v>6.44600026299083</v>
      </c>
      <c r="P110" s="4">
        <f t="shared" si="21"/>
        <v>6.02983807692374</v>
      </c>
      <c r="Q110" s="4">
        <f t="shared" si="21"/>
        <v>5.21741048572045</v>
      </c>
      <c r="R110" s="4">
        <f t="shared" si="21"/>
        <v>4.12141986871903</v>
      </c>
      <c r="S110" s="4">
        <f t="shared" si="20"/>
        <v>3.77190630161637</v>
      </c>
      <c r="T110" s="4">
        <f t="shared" si="20"/>
        <v>3.01216219280248</v>
      </c>
      <c r="U110" s="4">
        <f t="shared" si="20"/>
        <v>2.24651570583292</v>
      </c>
      <c r="V110" s="4">
        <f t="shared" si="20"/>
        <v>2.09895473372156</v>
      </c>
      <c r="W110" s="4">
        <f t="shared" si="20"/>
        <v>1.65371410041698</v>
      </c>
      <c r="X110" s="4">
        <f t="shared" si="20"/>
        <v>1.42777962967469</v>
      </c>
      <c r="Y110" s="4">
        <f t="shared" si="20"/>
        <v>1.19276989243751</v>
      </c>
      <c r="Z110" s="4">
        <f t="shared" si="20"/>
        <v>1.15604707476599</v>
      </c>
      <c r="AA110" s="4">
        <f t="shared" si="20"/>
        <v>1.04208983752679</v>
      </c>
      <c r="AB110" s="4">
        <f t="shared" si="20"/>
        <v>0.875688063573405</v>
      </c>
      <c r="AC110" s="4">
        <f t="shared" si="20"/>
        <v>0.739399875514544</v>
      </c>
      <c r="AD110" s="4">
        <f t="shared" si="20"/>
        <v>0.716858908573204</v>
      </c>
      <c r="AE110" s="4">
        <f t="shared" si="20"/>
        <v>0.624934175899615</v>
      </c>
      <c r="AF110" s="4">
        <f t="shared" si="20"/>
        <v>0.571321898200083</v>
      </c>
      <c r="AG110" s="4">
        <f t="shared" si="20"/>
        <v>0.531116529405118</v>
      </c>
      <c r="AH110" s="4">
        <f t="shared" si="17"/>
        <v>0.38045765884592</v>
      </c>
      <c r="AI110" s="4">
        <f t="shared" si="17"/>
        <v>0.295441794320173</v>
      </c>
      <c r="AJ110" s="4">
        <f t="shared" si="17"/>
        <v>0.254907408174699</v>
      </c>
    </row>
    <row r="111" spans="1:36">
      <c r="A111" t="str">
        <f>"semis_procurement_archetype_"&amp;TEXT(ROUND(Table26916[[#This Row],[2016]],3),"0.0")</f>
        <v>semis_procurement_archetype_9.4</v>
      </c>
      <c r="B111" s="4">
        <f t="shared" si="13"/>
        <v>9.4</v>
      </c>
      <c r="C111" s="4">
        <f t="shared" si="21"/>
        <v>9.4</v>
      </c>
      <c r="D111" s="4">
        <f t="shared" si="21"/>
        <v>9.4</v>
      </c>
      <c r="E111" s="4">
        <f t="shared" si="21"/>
        <v>9.17834599024204</v>
      </c>
      <c r="F111" s="4">
        <f t="shared" si="21"/>
        <v>8.64248449451448</v>
      </c>
      <c r="G111" s="4">
        <f t="shared" si="21"/>
        <v>8.71739924144761</v>
      </c>
      <c r="H111" s="4">
        <f t="shared" si="21"/>
        <v>8.4848031715698</v>
      </c>
      <c r="I111" s="4">
        <f t="shared" si="21"/>
        <v>8.03486214030823</v>
      </c>
      <c r="J111" s="4">
        <f t="shared" si="21"/>
        <v>7.78210784892563</v>
      </c>
      <c r="K111" s="4">
        <f t="shared" si="21"/>
        <v>7.52265022532488</v>
      </c>
      <c r="L111" s="4">
        <f t="shared" si="21"/>
        <v>7.1128065435118</v>
      </c>
      <c r="M111" s="4">
        <f t="shared" si="21"/>
        <v>7.06306426097889</v>
      </c>
      <c r="N111" s="4">
        <f t="shared" si="21"/>
        <v>6.7272477738998</v>
      </c>
      <c r="O111" s="4">
        <f t="shared" si="21"/>
        <v>6.37903400177361</v>
      </c>
      <c r="P111" s="4">
        <f t="shared" si="21"/>
        <v>5.96737325451779</v>
      </c>
      <c r="Q111" s="4">
        <f t="shared" si="21"/>
        <v>5.16373332642479</v>
      </c>
      <c r="R111" s="4">
        <f t="shared" si="21"/>
        <v>4.07959754598791</v>
      </c>
      <c r="S111" s="4">
        <f t="shared" si="20"/>
        <v>3.7338645096223</v>
      </c>
      <c r="T111" s="4">
        <f t="shared" si="20"/>
        <v>2.98233821043301</v>
      </c>
      <c r="U111" s="4">
        <f t="shared" si="20"/>
        <v>2.22497337645248</v>
      </c>
      <c r="V111" s="4">
        <f t="shared" si="20"/>
        <v>2.07900850487387</v>
      </c>
      <c r="W111" s="4">
        <f t="shared" si="20"/>
        <v>1.6385838388393</v>
      </c>
      <c r="X111" s="4">
        <f t="shared" si="20"/>
        <v>1.41509319944319</v>
      </c>
      <c r="Y111" s="4">
        <f t="shared" si="20"/>
        <v>1.18262545661983</v>
      </c>
      <c r="Z111" s="4">
        <f t="shared" si="20"/>
        <v>1.14629985311688</v>
      </c>
      <c r="AA111" s="4">
        <f t="shared" si="20"/>
        <v>1.0335752399548</v>
      </c>
      <c r="AB111" s="4">
        <f t="shared" si="20"/>
        <v>0.86897335899654</v>
      </c>
      <c r="AC111" s="4">
        <f t="shared" si="20"/>
        <v>0.734159338845736</v>
      </c>
      <c r="AD111" s="4">
        <f t="shared" si="20"/>
        <v>0.711862187385069</v>
      </c>
      <c r="AE111" s="4">
        <f t="shared" si="20"/>
        <v>0.620931763116296</v>
      </c>
      <c r="AF111" s="4">
        <f t="shared" si="20"/>
        <v>0.567899385262731</v>
      </c>
      <c r="AG111" s="4">
        <f t="shared" si="20"/>
        <v>0.528128899822321</v>
      </c>
      <c r="AH111" s="4">
        <f t="shared" si="17"/>
        <v>0.379099638367226</v>
      </c>
      <c r="AI111" s="4">
        <f t="shared" si="17"/>
        <v>0.29500335213322</v>
      </c>
      <c r="AJ111" s="4">
        <f t="shared" si="17"/>
        <v>0.254907408174699</v>
      </c>
    </row>
    <row r="112" spans="1:36">
      <c r="A112" t="str">
        <f>"semis_procurement_archetype_"&amp;TEXT(ROUND(Table26916[[#This Row],[2016]],3),"0.0")</f>
        <v>semis_procurement_archetype_9.3</v>
      </c>
      <c r="B112" s="4">
        <f t="shared" si="13"/>
        <v>9.3</v>
      </c>
      <c r="C112" s="4">
        <f t="shared" si="21"/>
        <v>9.3</v>
      </c>
      <c r="D112" s="4">
        <f t="shared" si="21"/>
        <v>9.3</v>
      </c>
      <c r="E112" s="4">
        <f t="shared" si="21"/>
        <v>9.08076973836195</v>
      </c>
      <c r="F112" s="4">
        <f t="shared" si="21"/>
        <v>8.55076779507027</v>
      </c>
      <c r="G112" s="4">
        <f t="shared" si="21"/>
        <v>8.62486336225009</v>
      </c>
      <c r="H112" s="4">
        <f t="shared" si="21"/>
        <v>8.39481069002017</v>
      </c>
      <c r="I112" s="4">
        <f t="shared" si="21"/>
        <v>7.94978968583043</v>
      </c>
      <c r="J112" s="4">
        <f t="shared" si="21"/>
        <v>7.69979921874862</v>
      </c>
      <c r="K112" s="4">
        <f t="shared" si="21"/>
        <v>7.44317871922283</v>
      </c>
      <c r="L112" s="4">
        <f t="shared" si="21"/>
        <v>7.03781660692584</v>
      </c>
      <c r="M112" s="4">
        <f t="shared" si="21"/>
        <v>6.98861824761769</v>
      </c>
      <c r="N112" s="4">
        <f t="shared" si="21"/>
        <v>6.65647385553061</v>
      </c>
      <c r="O112" s="4">
        <f t="shared" si="21"/>
        <v>6.31206774055638</v>
      </c>
      <c r="P112" s="4">
        <f t="shared" si="21"/>
        <v>5.90490843211184</v>
      </c>
      <c r="Q112" s="4">
        <f t="shared" si="21"/>
        <v>5.11005616712912</v>
      </c>
      <c r="R112" s="4">
        <f t="shared" si="21"/>
        <v>4.03777522325678</v>
      </c>
      <c r="S112" s="4">
        <f t="shared" si="20"/>
        <v>3.69582271762823</v>
      </c>
      <c r="T112" s="4">
        <f t="shared" si="20"/>
        <v>2.95251422806353</v>
      </c>
      <c r="U112" s="4">
        <f t="shared" si="20"/>
        <v>2.20343104707203</v>
      </c>
      <c r="V112" s="4">
        <f t="shared" si="20"/>
        <v>2.05906227602617</v>
      </c>
      <c r="W112" s="4">
        <f t="shared" si="20"/>
        <v>1.62345357726161</v>
      </c>
      <c r="X112" s="4">
        <f t="shared" si="20"/>
        <v>1.40240676921168</v>
      </c>
      <c r="Y112" s="4">
        <f t="shared" si="20"/>
        <v>1.17248102080215</v>
      </c>
      <c r="Z112" s="4">
        <f t="shared" si="20"/>
        <v>1.13655263146776</v>
      </c>
      <c r="AA112" s="4">
        <f t="shared" si="20"/>
        <v>1.0250606423828</v>
      </c>
      <c r="AB112" s="4">
        <f t="shared" si="20"/>
        <v>0.862258654419675</v>
      </c>
      <c r="AC112" s="4">
        <f t="shared" si="20"/>
        <v>0.728918802176928</v>
      </c>
      <c r="AD112" s="4">
        <f t="shared" si="20"/>
        <v>0.706865466196933</v>
      </c>
      <c r="AE112" s="4">
        <f t="shared" si="20"/>
        <v>0.616929350332976</v>
      </c>
      <c r="AF112" s="4">
        <f t="shared" si="20"/>
        <v>0.564476872325379</v>
      </c>
      <c r="AG112" s="4">
        <f t="shared" si="20"/>
        <v>0.525141270239523</v>
      </c>
      <c r="AH112" s="4">
        <f t="shared" si="17"/>
        <v>0.377741617888532</v>
      </c>
      <c r="AI112" s="4">
        <f t="shared" si="17"/>
        <v>0.294564909946266</v>
      </c>
      <c r="AJ112" s="4">
        <f t="shared" si="17"/>
        <v>0.254907408174699</v>
      </c>
    </row>
    <row r="113" spans="1:36">
      <c r="A113" t="str">
        <f>"semis_procurement_archetype_"&amp;TEXT(ROUND(Table26916[[#This Row],[2016]],3),"0.0")</f>
        <v>semis_procurement_archetype_9.2</v>
      </c>
      <c r="B113" s="4">
        <f t="shared" si="13"/>
        <v>9.2</v>
      </c>
      <c r="C113" s="4">
        <f t="shared" si="21"/>
        <v>9.2</v>
      </c>
      <c r="D113" s="4">
        <f t="shared" si="21"/>
        <v>9.2</v>
      </c>
      <c r="E113" s="4">
        <f t="shared" si="21"/>
        <v>8.98319348648185</v>
      </c>
      <c r="F113" s="4">
        <f t="shared" si="21"/>
        <v>8.45905109562605</v>
      </c>
      <c r="G113" s="4">
        <f t="shared" si="21"/>
        <v>8.53232748305257</v>
      </c>
      <c r="H113" s="4">
        <f t="shared" si="21"/>
        <v>8.30481820847053</v>
      </c>
      <c r="I113" s="4">
        <f t="shared" si="21"/>
        <v>7.86471723135262</v>
      </c>
      <c r="J113" s="4">
        <f t="shared" si="21"/>
        <v>7.61749058857161</v>
      </c>
      <c r="K113" s="4">
        <f t="shared" si="21"/>
        <v>7.36370721312079</v>
      </c>
      <c r="L113" s="4">
        <f t="shared" si="21"/>
        <v>6.96282667033988</v>
      </c>
      <c r="M113" s="4">
        <f t="shared" si="21"/>
        <v>6.91417223425649</v>
      </c>
      <c r="N113" s="4">
        <f t="shared" si="21"/>
        <v>6.58569993716142</v>
      </c>
      <c r="O113" s="4">
        <f t="shared" si="21"/>
        <v>6.24510147933915</v>
      </c>
      <c r="P113" s="4">
        <f t="shared" si="21"/>
        <v>5.84244360970589</v>
      </c>
      <c r="Q113" s="4">
        <f t="shared" si="21"/>
        <v>5.05637900783346</v>
      </c>
      <c r="R113" s="4">
        <f t="shared" si="21"/>
        <v>3.99595290052566</v>
      </c>
      <c r="S113" s="4">
        <f t="shared" si="20"/>
        <v>3.65778092563415</v>
      </c>
      <c r="T113" s="4">
        <f t="shared" si="20"/>
        <v>2.92269024569405</v>
      </c>
      <c r="U113" s="4">
        <f t="shared" si="20"/>
        <v>2.18188871769159</v>
      </c>
      <c r="V113" s="4">
        <f t="shared" si="20"/>
        <v>2.03911604717847</v>
      </c>
      <c r="W113" s="4">
        <f t="shared" si="20"/>
        <v>1.60832331568393</v>
      </c>
      <c r="X113" s="4">
        <f t="shared" si="20"/>
        <v>1.38972033898018</v>
      </c>
      <c r="Y113" s="4">
        <f t="shared" si="20"/>
        <v>1.16233658498447</v>
      </c>
      <c r="Z113" s="4">
        <f t="shared" si="20"/>
        <v>1.12680540981864</v>
      </c>
      <c r="AA113" s="4">
        <f t="shared" si="20"/>
        <v>1.01654604481081</v>
      </c>
      <c r="AB113" s="4">
        <f t="shared" si="20"/>
        <v>0.85554394984281</v>
      </c>
      <c r="AC113" s="4">
        <f t="shared" si="20"/>
        <v>0.72367826550812</v>
      </c>
      <c r="AD113" s="4">
        <f t="shared" si="20"/>
        <v>0.701868745008797</v>
      </c>
      <c r="AE113" s="4">
        <f t="shared" si="20"/>
        <v>0.612926937549657</v>
      </c>
      <c r="AF113" s="4">
        <f t="shared" si="20"/>
        <v>0.561054359388027</v>
      </c>
      <c r="AG113" s="4">
        <f t="shared" si="20"/>
        <v>0.522153640656725</v>
      </c>
      <c r="AH113" s="4">
        <f t="shared" si="17"/>
        <v>0.376383597409838</v>
      </c>
      <c r="AI113" s="4">
        <f t="shared" si="17"/>
        <v>0.294126467759313</v>
      </c>
      <c r="AJ113" s="4">
        <f t="shared" si="17"/>
        <v>0.254907408174699</v>
      </c>
    </row>
    <row r="114" spans="1:36">
      <c r="A114" t="str">
        <f>"semis_procurement_archetype_"&amp;TEXT(ROUND(Table26916[[#This Row],[2016]],3),"0.0")</f>
        <v>semis_procurement_archetype_9.1</v>
      </c>
      <c r="B114" s="4">
        <f t="shared" si="13"/>
        <v>9.1</v>
      </c>
      <c r="C114" s="4">
        <f t="shared" si="21"/>
        <v>9.1</v>
      </c>
      <c r="D114" s="4">
        <f t="shared" si="21"/>
        <v>9.1</v>
      </c>
      <c r="E114" s="4">
        <f t="shared" si="21"/>
        <v>8.88561723460176</v>
      </c>
      <c r="F114" s="4">
        <f t="shared" si="21"/>
        <v>8.36733439618183</v>
      </c>
      <c r="G114" s="4">
        <f t="shared" si="21"/>
        <v>8.43979160385505</v>
      </c>
      <c r="H114" s="4">
        <f t="shared" si="21"/>
        <v>8.2148257269209</v>
      </c>
      <c r="I114" s="4">
        <f t="shared" si="21"/>
        <v>7.77964477687482</v>
      </c>
      <c r="J114" s="4">
        <f t="shared" si="21"/>
        <v>7.53518195839459</v>
      </c>
      <c r="K114" s="4">
        <f t="shared" si="21"/>
        <v>7.28423570701874</v>
      </c>
      <c r="L114" s="4">
        <f t="shared" si="21"/>
        <v>6.88783673375392</v>
      </c>
      <c r="M114" s="4">
        <f t="shared" si="21"/>
        <v>6.83972622089529</v>
      </c>
      <c r="N114" s="4">
        <f t="shared" si="21"/>
        <v>6.51492601879223</v>
      </c>
      <c r="O114" s="4">
        <f t="shared" si="21"/>
        <v>6.17813521812193</v>
      </c>
      <c r="P114" s="4">
        <f t="shared" si="21"/>
        <v>5.77997878729995</v>
      </c>
      <c r="Q114" s="4">
        <f t="shared" si="21"/>
        <v>5.00270184853779</v>
      </c>
      <c r="R114" s="4">
        <f t="shared" si="21"/>
        <v>3.95413057779454</v>
      </c>
      <c r="S114" s="4">
        <f t="shared" si="20"/>
        <v>3.61973913364008</v>
      </c>
      <c r="T114" s="4">
        <f t="shared" si="20"/>
        <v>2.89286626332458</v>
      </c>
      <c r="U114" s="4">
        <f t="shared" si="20"/>
        <v>2.16034638831114</v>
      </c>
      <c r="V114" s="4">
        <f t="shared" si="20"/>
        <v>2.01916981833078</v>
      </c>
      <c r="W114" s="4">
        <f t="shared" si="20"/>
        <v>1.59319305410625</v>
      </c>
      <c r="X114" s="4">
        <f t="shared" si="20"/>
        <v>1.37703390874867</v>
      </c>
      <c r="Y114" s="4">
        <f t="shared" si="20"/>
        <v>1.15219214916679</v>
      </c>
      <c r="Z114" s="4">
        <f t="shared" si="20"/>
        <v>1.11705818816953</v>
      </c>
      <c r="AA114" s="4">
        <f t="shared" si="20"/>
        <v>1.00803144723882</v>
      </c>
      <c r="AB114" s="4">
        <f t="shared" si="20"/>
        <v>0.848829245265945</v>
      </c>
      <c r="AC114" s="4">
        <f t="shared" si="20"/>
        <v>0.718437728839312</v>
      </c>
      <c r="AD114" s="4">
        <f t="shared" si="20"/>
        <v>0.696872023820661</v>
      </c>
      <c r="AE114" s="4">
        <f t="shared" si="20"/>
        <v>0.608924524766338</v>
      </c>
      <c r="AF114" s="4">
        <f t="shared" si="20"/>
        <v>0.557631846450675</v>
      </c>
      <c r="AG114" s="4">
        <f t="shared" si="20"/>
        <v>0.519166011073927</v>
      </c>
      <c r="AH114" s="4">
        <f t="shared" si="17"/>
        <v>0.375025576931144</v>
      </c>
      <c r="AI114" s="4">
        <f t="shared" si="17"/>
        <v>0.293688025572359</v>
      </c>
      <c r="AJ114" s="4">
        <f t="shared" si="17"/>
        <v>0.254907408174699</v>
      </c>
    </row>
    <row r="115" spans="1:36">
      <c r="A115" t="str">
        <f>"semis_procurement_archetype_"&amp;TEXT(ROUND(Table26916[[#This Row],[2016]],3),"0.0")</f>
        <v>semis_procurement_archetype_9.0</v>
      </c>
      <c r="B115" s="4">
        <f t="shared" si="13"/>
        <v>9</v>
      </c>
      <c r="C115" s="4">
        <f t="shared" si="21"/>
        <v>9</v>
      </c>
      <c r="D115" s="4">
        <f t="shared" si="21"/>
        <v>9</v>
      </c>
      <c r="E115" s="4">
        <f t="shared" si="21"/>
        <v>8.78804098272166</v>
      </c>
      <c r="F115" s="4">
        <f t="shared" si="21"/>
        <v>8.27561769673761</v>
      </c>
      <c r="G115" s="4">
        <f t="shared" si="21"/>
        <v>8.34725572465753</v>
      </c>
      <c r="H115" s="4">
        <f t="shared" si="21"/>
        <v>8.12483324537127</v>
      </c>
      <c r="I115" s="4">
        <f t="shared" si="21"/>
        <v>7.69457232239702</v>
      </c>
      <c r="J115" s="4">
        <f t="shared" si="21"/>
        <v>7.45287332821758</v>
      </c>
      <c r="K115" s="4">
        <f t="shared" si="21"/>
        <v>7.2047642009167</v>
      </c>
      <c r="L115" s="4">
        <f t="shared" si="21"/>
        <v>6.81284679716796</v>
      </c>
      <c r="M115" s="4">
        <f t="shared" si="21"/>
        <v>6.76528020753409</v>
      </c>
      <c r="N115" s="4">
        <f t="shared" si="21"/>
        <v>6.44415210042304</v>
      </c>
      <c r="O115" s="4">
        <f t="shared" si="21"/>
        <v>6.1111689569047</v>
      </c>
      <c r="P115" s="4">
        <f t="shared" si="21"/>
        <v>5.717513964894</v>
      </c>
      <c r="Q115" s="4">
        <f t="shared" si="21"/>
        <v>4.94902468924213</v>
      </c>
      <c r="R115" s="4">
        <f t="shared" si="21"/>
        <v>3.91230825506341</v>
      </c>
      <c r="S115" s="4">
        <f t="shared" si="20"/>
        <v>3.58169734164601</v>
      </c>
      <c r="T115" s="4">
        <f t="shared" si="20"/>
        <v>2.8630422809551</v>
      </c>
      <c r="U115" s="4">
        <f t="shared" si="20"/>
        <v>2.13880405893069</v>
      </c>
      <c r="V115" s="4">
        <f t="shared" si="20"/>
        <v>1.99922358948308</v>
      </c>
      <c r="W115" s="4">
        <f t="shared" si="20"/>
        <v>1.57806279252856</v>
      </c>
      <c r="X115" s="4">
        <f t="shared" si="20"/>
        <v>1.36434747851717</v>
      </c>
      <c r="Y115" s="4">
        <f t="shared" si="20"/>
        <v>1.14204771334911</v>
      </c>
      <c r="Z115" s="4">
        <f t="shared" si="20"/>
        <v>1.10731096652041</v>
      </c>
      <c r="AA115" s="4">
        <f t="shared" si="20"/>
        <v>0.999516849666823</v>
      </c>
      <c r="AB115" s="4">
        <f t="shared" si="20"/>
        <v>0.84211454068908</v>
      </c>
      <c r="AC115" s="4">
        <f t="shared" si="20"/>
        <v>0.713197192170505</v>
      </c>
      <c r="AD115" s="4">
        <f t="shared" si="20"/>
        <v>0.691875302632526</v>
      </c>
      <c r="AE115" s="4">
        <f t="shared" si="20"/>
        <v>0.604922111983019</v>
      </c>
      <c r="AF115" s="4">
        <f t="shared" si="20"/>
        <v>0.554209333513323</v>
      </c>
      <c r="AG115" s="4">
        <f t="shared" si="20"/>
        <v>0.516178381491129</v>
      </c>
      <c r="AH115" s="4">
        <f t="shared" si="17"/>
        <v>0.37366755645245</v>
      </c>
      <c r="AI115" s="4">
        <f t="shared" si="17"/>
        <v>0.293249583385406</v>
      </c>
      <c r="AJ115" s="4">
        <f t="shared" si="17"/>
        <v>0.254907408174699</v>
      </c>
    </row>
    <row r="116" spans="1:36">
      <c r="A116" t="str">
        <f>"semis_procurement_archetype_"&amp;TEXT(ROUND(Table26916[[#This Row],[2016]],3),"0.0")</f>
        <v>semis_procurement_archetype_8.9</v>
      </c>
      <c r="B116" s="4">
        <f t="shared" si="13"/>
        <v>8.9</v>
      </c>
      <c r="C116" s="4">
        <f t="shared" si="21"/>
        <v>8.9</v>
      </c>
      <c r="D116" s="4">
        <f t="shared" si="21"/>
        <v>8.9</v>
      </c>
      <c r="E116" s="4">
        <f t="shared" si="21"/>
        <v>8.69046473084157</v>
      </c>
      <c r="F116" s="4">
        <f t="shared" si="21"/>
        <v>8.1839009972934</v>
      </c>
      <c r="G116" s="4">
        <f t="shared" si="21"/>
        <v>8.25471984546001</v>
      </c>
      <c r="H116" s="4">
        <f t="shared" si="21"/>
        <v>8.03484076382164</v>
      </c>
      <c r="I116" s="4">
        <f t="shared" si="21"/>
        <v>7.60949986791921</v>
      </c>
      <c r="J116" s="4">
        <f t="shared" si="21"/>
        <v>7.37056469804057</v>
      </c>
      <c r="K116" s="4">
        <f t="shared" si="21"/>
        <v>7.12529269481465</v>
      </c>
      <c r="L116" s="4">
        <f t="shared" si="21"/>
        <v>6.737856860582</v>
      </c>
      <c r="M116" s="4">
        <f t="shared" si="21"/>
        <v>6.6908341941729</v>
      </c>
      <c r="N116" s="4">
        <f t="shared" si="21"/>
        <v>6.37337818205386</v>
      </c>
      <c r="O116" s="4">
        <f t="shared" si="21"/>
        <v>6.04420269568748</v>
      </c>
      <c r="P116" s="4">
        <f t="shared" si="21"/>
        <v>5.65504914248805</v>
      </c>
      <c r="Q116" s="4">
        <f t="shared" si="21"/>
        <v>4.89534752994647</v>
      </c>
      <c r="R116" s="4">
        <f t="shared" si="21"/>
        <v>3.87048593233229</v>
      </c>
      <c r="S116" s="4">
        <f t="shared" si="20"/>
        <v>3.54365554965193</v>
      </c>
      <c r="T116" s="4">
        <f t="shared" si="20"/>
        <v>2.83321829858562</v>
      </c>
      <c r="U116" s="4">
        <f t="shared" si="20"/>
        <v>2.11726172955025</v>
      </c>
      <c r="V116" s="4">
        <f t="shared" si="20"/>
        <v>1.97927736063539</v>
      </c>
      <c r="W116" s="4">
        <f t="shared" si="20"/>
        <v>1.56293253095088</v>
      </c>
      <c r="X116" s="4">
        <f t="shared" si="20"/>
        <v>1.35166104828566</v>
      </c>
      <c r="Y116" s="4">
        <f t="shared" si="20"/>
        <v>1.13190327753143</v>
      </c>
      <c r="Z116" s="4">
        <f t="shared" si="20"/>
        <v>1.09756374487129</v>
      </c>
      <c r="AA116" s="4">
        <f t="shared" si="20"/>
        <v>0.99100225209483</v>
      </c>
      <c r="AB116" s="4">
        <f t="shared" si="20"/>
        <v>0.835399836112215</v>
      </c>
      <c r="AC116" s="4">
        <f t="shared" si="20"/>
        <v>0.707956655501697</v>
      </c>
      <c r="AD116" s="4">
        <f t="shared" si="20"/>
        <v>0.68687858144439</v>
      </c>
      <c r="AE116" s="4">
        <f t="shared" si="20"/>
        <v>0.600919699199699</v>
      </c>
      <c r="AF116" s="4">
        <f t="shared" si="20"/>
        <v>0.550786820575972</v>
      </c>
      <c r="AG116" s="4">
        <f t="shared" si="20"/>
        <v>0.513190751908332</v>
      </c>
      <c r="AH116" s="4">
        <f t="shared" si="17"/>
        <v>0.372309535973755</v>
      </c>
      <c r="AI116" s="4">
        <f t="shared" si="17"/>
        <v>0.292811141198452</v>
      </c>
      <c r="AJ116" s="4">
        <f t="shared" si="17"/>
        <v>0.254907408174699</v>
      </c>
    </row>
    <row r="117" spans="1:36">
      <c r="A117" t="str">
        <f>"semis_procurement_archetype_"&amp;TEXT(ROUND(Table26916[[#This Row],[2016]],3),"0.0")</f>
        <v>semis_procurement_archetype_8.8</v>
      </c>
      <c r="B117" s="4">
        <f t="shared" si="13"/>
        <v>8.8</v>
      </c>
      <c r="C117" s="4">
        <f t="shared" si="21"/>
        <v>8.8</v>
      </c>
      <c r="D117" s="4">
        <f t="shared" si="21"/>
        <v>8.8</v>
      </c>
      <c r="E117" s="4">
        <f t="shared" si="21"/>
        <v>8.59288847896147</v>
      </c>
      <c r="F117" s="4">
        <f t="shared" si="21"/>
        <v>8.09218429784918</v>
      </c>
      <c r="G117" s="4">
        <f t="shared" si="21"/>
        <v>8.16218396626249</v>
      </c>
      <c r="H117" s="4">
        <f t="shared" si="21"/>
        <v>7.94484828227201</v>
      </c>
      <c r="I117" s="4">
        <f t="shared" si="21"/>
        <v>7.52442741344141</v>
      </c>
      <c r="J117" s="4">
        <f t="shared" si="21"/>
        <v>7.28825606786355</v>
      </c>
      <c r="K117" s="4">
        <f t="shared" si="21"/>
        <v>7.0458211887126</v>
      </c>
      <c r="L117" s="4">
        <f t="shared" si="21"/>
        <v>6.66286692399604</v>
      </c>
      <c r="M117" s="4">
        <f t="shared" si="21"/>
        <v>6.6163881808117</v>
      </c>
      <c r="N117" s="4">
        <f t="shared" si="21"/>
        <v>6.30260426368467</v>
      </c>
      <c r="O117" s="4">
        <f t="shared" si="21"/>
        <v>5.97723643447025</v>
      </c>
      <c r="P117" s="4">
        <f t="shared" si="21"/>
        <v>5.59258432008211</v>
      </c>
      <c r="Q117" s="4">
        <f t="shared" si="21"/>
        <v>4.8416703706508</v>
      </c>
      <c r="R117" s="4">
        <f t="shared" si="21"/>
        <v>3.82866360960117</v>
      </c>
      <c r="S117" s="4">
        <f t="shared" si="20"/>
        <v>3.50561375765786</v>
      </c>
      <c r="T117" s="4">
        <f t="shared" si="20"/>
        <v>2.80339431621615</v>
      </c>
      <c r="U117" s="4">
        <f t="shared" si="20"/>
        <v>2.0957194001698</v>
      </c>
      <c r="V117" s="4">
        <f t="shared" si="20"/>
        <v>1.95933113178769</v>
      </c>
      <c r="W117" s="4">
        <f t="shared" si="20"/>
        <v>1.54780226937319</v>
      </c>
      <c r="X117" s="4">
        <f t="shared" si="20"/>
        <v>1.33897461805416</v>
      </c>
      <c r="Y117" s="4">
        <f t="shared" si="20"/>
        <v>1.12175884171375</v>
      </c>
      <c r="Z117" s="4">
        <f t="shared" si="20"/>
        <v>1.08781652322218</v>
      </c>
      <c r="AA117" s="4">
        <f t="shared" si="20"/>
        <v>0.982487654522837</v>
      </c>
      <c r="AB117" s="4">
        <f t="shared" si="20"/>
        <v>0.82868513153535</v>
      </c>
      <c r="AC117" s="4">
        <f t="shared" si="20"/>
        <v>0.702716118832889</v>
      </c>
      <c r="AD117" s="4">
        <f t="shared" si="20"/>
        <v>0.681881860256254</v>
      </c>
      <c r="AE117" s="4">
        <f t="shared" si="20"/>
        <v>0.59691728641638</v>
      </c>
      <c r="AF117" s="4">
        <f t="shared" si="20"/>
        <v>0.54736430763862</v>
      </c>
      <c r="AG117" s="4">
        <f t="shared" si="20"/>
        <v>0.510203122325534</v>
      </c>
      <c r="AH117" s="4">
        <f t="shared" si="17"/>
        <v>0.370951515495061</v>
      </c>
      <c r="AI117" s="4">
        <f t="shared" si="17"/>
        <v>0.292372699011499</v>
      </c>
      <c r="AJ117" s="4">
        <f t="shared" si="17"/>
        <v>0.254907408174699</v>
      </c>
    </row>
    <row r="118" spans="1:36">
      <c r="A118" t="str">
        <f>"semis_procurement_archetype_"&amp;TEXT(ROUND(Table26916[[#This Row],[2016]],3),"0.0")</f>
        <v>semis_procurement_archetype_8.7</v>
      </c>
      <c r="B118" s="4">
        <f t="shared" si="13"/>
        <v>8.7</v>
      </c>
      <c r="C118" s="4">
        <f t="shared" si="21"/>
        <v>8.7</v>
      </c>
      <c r="D118" s="4">
        <f t="shared" si="21"/>
        <v>8.7</v>
      </c>
      <c r="E118" s="4">
        <f t="shared" si="21"/>
        <v>8.49531222708138</v>
      </c>
      <c r="F118" s="4">
        <f t="shared" si="21"/>
        <v>8.00046759840496</v>
      </c>
      <c r="G118" s="4">
        <f t="shared" si="21"/>
        <v>8.06964808706497</v>
      </c>
      <c r="H118" s="4">
        <f t="shared" si="21"/>
        <v>7.85485580072238</v>
      </c>
      <c r="I118" s="4">
        <f t="shared" si="21"/>
        <v>7.43935495896361</v>
      </c>
      <c r="J118" s="4">
        <f t="shared" si="21"/>
        <v>7.20594743768654</v>
      </c>
      <c r="K118" s="4">
        <f t="shared" si="21"/>
        <v>6.96634968261056</v>
      </c>
      <c r="L118" s="4">
        <f t="shared" si="21"/>
        <v>6.58787698741008</v>
      </c>
      <c r="M118" s="4">
        <f t="shared" si="21"/>
        <v>6.5419421674505</v>
      </c>
      <c r="N118" s="4">
        <f t="shared" si="21"/>
        <v>6.23183034531548</v>
      </c>
      <c r="O118" s="4">
        <f t="shared" si="21"/>
        <v>5.91027017325302</v>
      </c>
      <c r="P118" s="4">
        <f t="shared" si="21"/>
        <v>5.53011949767616</v>
      </c>
      <c r="Q118" s="4">
        <f t="shared" si="21"/>
        <v>4.78799321135514</v>
      </c>
      <c r="R118" s="4">
        <f t="shared" si="21"/>
        <v>3.78684128687004</v>
      </c>
      <c r="S118" s="4">
        <f t="shared" si="20"/>
        <v>3.46757196566379</v>
      </c>
      <c r="T118" s="4">
        <f t="shared" si="20"/>
        <v>2.77357033384667</v>
      </c>
      <c r="U118" s="4">
        <f t="shared" si="20"/>
        <v>2.07417707078936</v>
      </c>
      <c r="V118" s="4">
        <f t="shared" si="20"/>
        <v>1.93938490293999</v>
      </c>
      <c r="W118" s="4">
        <f t="shared" si="20"/>
        <v>1.53267200779551</v>
      </c>
      <c r="X118" s="4">
        <f t="shared" si="20"/>
        <v>1.32628818782265</v>
      </c>
      <c r="Y118" s="4">
        <f t="shared" si="20"/>
        <v>1.11161440589607</v>
      </c>
      <c r="Z118" s="4">
        <f t="shared" si="20"/>
        <v>1.07806930157306</v>
      </c>
      <c r="AA118" s="4">
        <f t="shared" si="20"/>
        <v>0.973973056950843</v>
      </c>
      <c r="AB118" s="4">
        <f t="shared" si="20"/>
        <v>0.821970426958485</v>
      </c>
      <c r="AC118" s="4">
        <f t="shared" si="20"/>
        <v>0.697475582164081</v>
      </c>
      <c r="AD118" s="4">
        <f t="shared" si="20"/>
        <v>0.676885139068118</v>
      </c>
      <c r="AE118" s="4">
        <f t="shared" si="20"/>
        <v>0.592914873633061</v>
      </c>
      <c r="AF118" s="4">
        <f t="shared" si="20"/>
        <v>0.543941794701268</v>
      </c>
      <c r="AG118" s="4">
        <f t="shared" si="20"/>
        <v>0.507215492742736</v>
      </c>
      <c r="AH118" s="4">
        <f t="shared" si="17"/>
        <v>0.369593495016367</v>
      </c>
      <c r="AI118" s="4">
        <f t="shared" si="17"/>
        <v>0.291934256824545</v>
      </c>
      <c r="AJ118" s="4">
        <f t="shared" si="17"/>
        <v>0.254907408174699</v>
      </c>
    </row>
    <row r="119" spans="1:36">
      <c r="A119" t="str">
        <f>"semis_procurement_archetype_"&amp;TEXT(ROUND(Table26916[[#This Row],[2016]],3),"0.0")</f>
        <v>semis_procurement_archetype_8.6</v>
      </c>
      <c r="B119" s="4">
        <f t="shared" si="13"/>
        <v>8.6</v>
      </c>
      <c r="C119" s="4">
        <f t="shared" si="21"/>
        <v>8.6</v>
      </c>
      <c r="D119" s="4">
        <f t="shared" si="21"/>
        <v>8.6</v>
      </c>
      <c r="E119" s="4">
        <f t="shared" si="21"/>
        <v>8.39773597520128</v>
      </c>
      <c r="F119" s="4">
        <f t="shared" si="21"/>
        <v>7.90875089896074</v>
      </c>
      <c r="G119" s="4">
        <f t="shared" si="21"/>
        <v>7.97711220786744</v>
      </c>
      <c r="H119" s="4">
        <f t="shared" si="21"/>
        <v>7.76486331917274</v>
      </c>
      <c r="I119" s="4">
        <f t="shared" si="21"/>
        <v>7.3542825044858</v>
      </c>
      <c r="J119" s="4">
        <f t="shared" si="21"/>
        <v>7.12363880750953</v>
      </c>
      <c r="K119" s="4">
        <f t="shared" si="21"/>
        <v>6.88687817650851</v>
      </c>
      <c r="L119" s="4">
        <f t="shared" si="21"/>
        <v>6.51288705082412</v>
      </c>
      <c r="M119" s="4">
        <f t="shared" si="21"/>
        <v>6.4674961540893</v>
      </c>
      <c r="N119" s="4">
        <f t="shared" si="21"/>
        <v>6.16105642694629</v>
      </c>
      <c r="O119" s="4">
        <f t="shared" si="21"/>
        <v>5.8433039120358</v>
      </c>
      <c r="P119" s="4">
        <f t="shared" si="21"/>
        <v>5.46765467527021</v>
      </c>
      <c r="Q119" s="4">
        <f t="shared" si="21"/>
        <v>4.73431605205947</v>
      </c>
      <c r="R119" s="4">
        <f t="shared" si="21"/>
        <v>3.74501896413892</v>
      </c>
      <c r="S119" s="4">
        <f t="shared" si="20"/>
        <v>3.42953017366971</v>
      </c>
      <c r="T119" s="4">
        <f t="shared" si="20"/>
        <v>2.74374635147719</v>
      </c>
      <c r="U119" s="4">
        <f t="shared" si="20"/>
        <v>2.05263474140891</v>
      </c>
      <c r="V119" s="4">
        <f t="shared" si="20"/>
        <v>1.9194386740923</v>
      </c>
      <c r="W119" s="4">
        <f t="shared" si="20"/>
        <v>1.51754174621782</v>
      </c>
      <c r="X119" s="4">
        <f t="shared" si="20"/>
        <v>1.31360175759114</v>
      </c>
      <c r="Y119" s="4">
        <f t="shared" si="20"/>
        <v>1.10146997007839</v>
      </c>
      <c r="Z119" s="4">
        <f t="shared" si="20"/>
        <v>1.06832207992394</v>
      </c>
      <c r="AA119" s="4">
        <f t="shared" si="20"/>
        <v>0.96545845937885</v>
      </c>
      <c r="AB119" s="4">
        <f t="shared" si="20"/>
        <v>0.81525572238162</v>
      </c>
      <c r="AC119" s="4">
        <f t="shared" si="20"/>
        <v>0.692235045495273</v>
      </c>
      <c r="AD119" s="4">
        <f t="shared" si="20"/>
        <v>0.671888417879982</v>
      </c>
      <c r="AE119" s="4">
        <f t="shared" si="20"/>
        <v>0.588912460849742</v>
      </c>
      <c r="AF119" s="4">
        <f t="shared" si="20"/>
        <v>0.540519281763916</v>
      </c>
      <c r="AG119" s="4">
        <f t="shared" si="20"/>
        <v>0.504227863159938</v>
      </c>
      <c r="AH119" s="4">
        <f t="shared" si="17"/>
        <v>0.368235474537673</v>
      </c>
      <c r="AI119" s="4">
        <f t="shared" si="17"/>
        <v>0.291495814637592</v>
      </c>
      <c r="AJ119" s="4">
        <f t="shared" si="17"/>
        <v>0.254907408174699</v>
      </c>
    </row>
    <row r="120" spans="1:36">
      <c r="A120" t="str">
        <f>"semis_procurement_archetype_"&amp;TEXT(ROUND(Table26916[[#This Row],[2016]],3),"0.0")</f>
        <v>semis_procurement_archetype_8.5</v>
      </c>
      <c r="B120" s="4">
        <f t="shared" si="13"/>
        <v>8.5</v>
      </c>
      <c r="C120" s="4">
        <f t="shared" si="21"/>
        <v>8.5</v>
      </c>
      <c r="D120" s="4">
        <f t="shared" si="21"/>
        <v>8.5</v>
      </c>
      <c r="E120" s="4">
        <f t="shared" si="21"/>
        <v>8.30015972332119</v>
      </c>
      <c r="F120" s="4">
        <f t="shared" si="21"/>
        <v>7.81703419951653</v>
      </c>
      <c r="G120" s="4">
        <f t="shared" si="21"/>
        <v>7.88457632866992</v>
      </c>
      <c r="H120" s="4">
        <f t="shared" si="21"/>
        <v>7.67487083762311</v>
      </c>
      <c r="I120" s="4">
        <f t="shared" si="21"/>
        <v>7.269210050008</v>
      </c>
      <c r="J120" s="4">
        <f t="shared" si="21"/>
        <v>7.04133017733251</v>
      </c>
      <c r="K120" s="4">
        <f t="shared" si="21"/>
        <v>6.80740667040647</v>
      </c>
      <c r="L120" s="4">
        <f t="shared" si="21"/>
        <v>6.43789711423816</v>
      </c>
      <c r="M120" s="4">
        <f t="shared" si="21"/>
        <v>6.3930501407281</v>
      </c>
      <c r="N120" s="4">
        <f t="shared" si="21"/>
        <v>6.09028250857711</v>
      </c>
      <c r="O120" s="4">
        <f t="shared" si="21"/>
        <v>5.77633765081857</v>
      </c>
      <c r="P120" s="4">
        <f t="shared" si="21"/>
        <v>5.40518985286427</v>
      </c>
      <c r="Q120" s="4">
        <f t="shared" si="21"/>
        <v>4.68063889276381</v>
      </c>
      <c r="R120" s="4">
        <f t="shared" si="21"/>
        <v>3.7031966414078</v>
      </c>
      <c r="S120" s="4">
        <f t="shared" si="20"/>
        <v>3.39148838167564</v>
      </c>
      <c r="T120" s="4">
        <f t="shared" si="20"/>
        <v>2.71392236910772</v>
      </c>
      <c r="U120" s="4">
        <f t="shared" si="20"/>
        <v>2.03109241202846</v>
      </c>
      <c r="V120" s="4">
        <f t="shared" si="20"/>
        <v>1.8994924452446</v>
      </c>
      <c r="W120" s="4">
        <f t="shared" si="20"/>
        <v>1.50241148464014</v>
      </c>
      <c r="X120" s="4">
        <f t="shared" si="20"/>
        <v>1.30091532735964</v>
      </c>
      <c r="Y120" s="4">
        <f t="shared" si="20"/>
        <v>1.09132553426071</v>
      </c>
      <c r="Z120" s="4">
        <f t="shared" si="20"/>
        <v>1.05857485827483</v>
      </c>
      <c r="AA120" s="4">
        <f t="shared" si="20"/>
        <v>0.956943861806857</v>
      </c>
      <c r="AB120" s="4">
        <f t="shared" si="20"/>
        <v>0.808541017804755</v>
      </c>
      <c r="AC120" s="4">
        <f t="shared" si="20"/>
        <v>0.686994508826465</v>
      </c>
      <c r="AD120" s="4">
        <f t="shared" si="20"/>
        <v>0.666891696691847</v>
      </c>
      <c r="AE120" s="4">
        <f t="shared" si="20"/>
        <v>0.584910048066422</v>
      </c>
      <c r="AF120" s="4">
        <f t="shared" si="20"/>
        <v>0.537096768826564</v>
      </c>
      <c r="AG120" s="4">
        <f t="shared" si="20"/>
        <v>0.501240233577141</v>
      </c>
      <c r="AH120" s="4">
        <f t="shared" si="17"/>
        <v>0.366877454058979</v>
      </c>
      <c r="AI120" s="4">
        <f t="shared" si="17"/>
        <v>0.291057372450638</v>
      </c>
      <c r="AJ120" s="4">
        <f t="shared" si="17"/>
        <v>0.254907408174699</v>
      </c>
    </row>
    <row r="121" spans="1:36">
      <c r="A121" t="str">
        <f>"semis_procurement_archetype_"&amp;TEXT(ROUND(Table26916[[#This Row],[2016]],3),"0.0")</f>
        <v>semis_procurement_archetype_8.4</v>
      </c>
      <c r="B121" s="4">
        <f t="shared" si="13"/>
        <v>8.4</v>
      </c>
      <c r="C121" s="4">
        <f t="shared" si="21"/>
        <v>8.4</v>
      </c>
      <c r="D121" s="4">
        <f t="shared" si="21"/>
        <v>8.4</v>
      </c>
      <c r="E121" s="4">
        <f t="shared" si="21"/>
        <v>8.20258347144109</v>
      </c>
      <c r="F121" s="4">
        <f t="shared" si="21"/>
        <v>7.72531750007231</v>
      </c>
      <c r="G121" s="4">
        <f t="shared" si="21"/>
        <v>7.7920404494724</v>
      </c>
      <c r="H121" s="4">
        <f t="shared" si="21"/>
        <v>7.58487835607348</v>
      </c>
      <c r="I121" s="4">
        <f t="shared" si="21"/>
        <v>7.1841375955302</v>
      </c>
      <c r="J121" s="4">
        <f t="shared" si="21"/>
        <v>6.9590215471555</v>
      </c>
      <c r="K121" s="4">
        <f t="shared" si="21"/>
        <v>6.72793516430442</v>
      </c>
      <c r="L121" s="4">
        <f t="shared" si="21"/>
        <v>6.3629071776522</v>
      </c>
      <c r="M121" s="4">
        <f t="shared" si="21"/>
        <v>6.31860412736691</v>
      </c>
      <c r="N121" s="4">
        <f t="shared" si="21"/>
        <v>6.01950859020792</v>
      </c>
      <c r="O121" s="4">
        <f t="shared" si="21"/>
        <v>5.70937138960135</v>
      </c>
      <c r="P121" s="4">
        <f t="shared" si="21"/>
        <v>5.34272503045832</v>
      </c>
      <c r="Q121" s="4">
        <f t="shared" si="21"/>
        <v>4.62696173346814</v>
      </c>
      <c r="R121" s="4">
        <f t="shared" si="21"/>
        <v>3.66137431867668</v>
      </c>
      <c r="S121" s="4">
        <f t="shared" si="20"/>
        <v>3.35344658968157</v>
      </c>
      <c r="T121" s="4">
        <f t="shared" si="20"/>
        <v>2.68409838673824</v>
      </c>
      <c r="U121" s="4">
        <f t="shared" si="20"/>
        <v>2.00955008264802</v>
      </c>
      <c r="V121" s="4">
        <f t="shared" si="20"/>
        <v>1.87954621639691</v>
      </c>
      <c r="W121" s="4">
        <f t="shared" si="20"/>
        <v>1.48728122306246</v>
      </c>
      <c r="X121" s="4">
        <f t="shared" si="20"/>
        <v>1.28822889712813</v>
      </c>
      <c r="Y121" s="4">
        <f t="shared" si="20"/>
        <v>1.08118109844303</v>
      </c>
      <c r="Z121" s="4">
        <f t="shared" si="20"/>
        <v>1.04882763662571</v>
      </c>
      <c r="AA121" s="4">
        <f t="shared" si="20"/>
        <v>0.948429264234864</v>
      </c>
      <c r="AB121" s="4">
        <f t="shared" si="20"/>
        <v>0.80182631322789</v>
      </c>
      <c r="AC121" s="4">
        <f t="shared" si="20"/>
        <v>0.681753972157657</v>
      </c>
      <c r="AD121" s="4">
        <f t="shared" si="20"/>
        <v>0.661894975503711</v>
      </c>
      <c r="AE121" s="4">
        <f t="shared" si="20"/>
        <v>0.580907635283103</v>
      </c>
      <c r="AF121" s="4">
        <f t="shared" si="20"/>
        <v>0.533674255889212</v>
      </c>
      <c r="AG121" s="4">
        <f t="shared" si="20"/>
        <v>0.498252603994343</v>
      </c>
      <c r="AH121" s="4">
        <f t="shared" si="17"/>
        <v>0.365519433580285</v>
      </c>
      <c r="AI121" s="4">
        <f t="shared" si="17"/>
        <v>0.290618930263685</v>
      </c>
      <c r="AJ121" s="4">
        <f t="shared" si="17"/>
        <v>0.254907408174699</v>
      </c>
    </row>
    <row r="122" spans="1:36">
      <c r="A122" t="str">
        <f>"semis_procurement_archetype_"&amp;TEXT(ROUND(Table26916[[#This Row],[2016]],3),"0.0")</f>
        <v>semis_procurement_archetype_8.3</v>
      </c>
      <c r="B122" s="4">
        <f t="shared" si="13"/>
        <v>8.3</v>
      </c>
      <c r="C122" s="4">
        <f t="shared" si="21"/>
        <v>8.3</v>
      </c>
      <c r="D122" s="4">
        <f t="shared" si="21"/>
        <v>8.3</v>
      </c>
      <c r="E122" s="4">
        <f t="shared" si="21"/>
        <v>8.105007219561</v>
      </c>
      <c r="F122" s="4">
        <f t="shared" si="21"/>
        <v>7.63360080062809</v>
      </c>
      <c r="G122" s="4">
        <f t="shared" si="21"/>
        <v>7.69950457027488</v>
      </c>
      <c r="H122" s="4">
        <f t="shared" si="21"/>
        <v>7.49488587452385</v>
      </c>
      <c r="I122" s="4">
        <f t="shared" si="21"/>
        <v>7.09906514105239</v>
      </c>
      <c r="J122" s="4">
        <f t="shared" si="21"/>
        <v>6.87671291697849</v>
      </c>
      <c r="K122" s="4">
        <f t="shared" si="21"/>
        <v>6.64846365820238</v>
      </c>
      <c r="L122" s="4">
        <f t="shared" si="21"/>
        <v>6.28791724106624</v>
      </c>
      <c r="M122" s="4">
        <f t="shared" si="21"/>
        <v>6.24415811400571</v>
      </c>
      <c r="N122" s="4">
        <f t="shared" si="21"/>
        <v>5.94873467183873</v>
      </c>
      <c r="O122" s="4">
        <f t="shared" si="21"/>
        <v>5.64240512838412</v>
      </c>
      <c r="P122" s="4">
        <f t="shared" si="21"/>
        <v>5.28026020805237</v>
      </c>
      <c r="Q122" s="4">
        <f t="shared" si="21"/>
        <v>4.57328457417248</v>
      </c>
      <c r="R122" s="4">
        <f t="shared" si="21"/>
        <v>3.61955199594555</v>
      </c>
      <c r="S122" s="4">
        <f t="shared" si="20"/>
        <v>3.31540479768749</v>
      </c>
      <c r="T122" s="4">
        <f t="shared" si="20"/>
        <v>2.65427440436876</v>
      </c>
      <c r="U122" s="4">
        <f t="shared" si="20"/>
        <v>1.98800775326757</v>
      </c>
      <c r="V122" s="4">
        <f t="shared" si="20"/>
        <v>1.85959998754921</v>
      </c>
      <c r="W122" s="4">
        <f t="shared" si="20"/>
        <v>1.47215096148477</v>
      </c>
      <c r="X122" s="4">
        <f t="shared" si="20"/>
        <v>1.27554246689663</v>
      </c>
      <c r="Y122" s="4">
        <f t="shared" si="20"/>
        <v>1.07103666262535</v>
      </c>
      <c r="Z122" s="4">
        <f t="shared" si="20"/>
        <v>1.03908041497659</v>
      </c>
      <c r="AA122" s="4">
        <f t="shared" si="20"/>
        <v>0.93991466666287</v>
      </c>
      <c r="AB122" s="4">
        <f t="shared" si="20"/>
        <v>0.795111608651024</v>
      </c>
      <c r="AC122" s="4">
        <f t="shared" si="20"/>
        <v>0.67651343548885</v>
      </c>
      <c r="AD122" s="4">
        <f t="shared" si="20"/>
        <v>0.656898254315575</v>
      </c>
      <c r="AE122" s="4">
        <f t="shared" si="20"/>
        <v>0.576905222499784</v>
      </c>
      <c r="AF122" s="4">
        <f t="shared" si="20"/>
        <v>0.53025174295186</v>
      </c>
      <c r="AG122" s="4">
        <f t="shared" si="20"/>
        <v>0.495264974411545</v>
      </c>
      <c r="AH122" s="4">
        <f t="shared" si="17"/>
        <v>0.364161413101591</v>
      </c>
      <c r="AI122" s="4">
        <f t="shared" si="17"/>
        <v>0.290180488076731</v>
      </c>
      <c r="AJ122" s="4">
        <f t="shared" si="17"/>
        <v>0.254907408174699</v>
      </c>
    </row>
    <row r="123" spans="1:36">
      <c r="A123" t="str">
        <f>"semis_procurement_archetype_"&amp;TEXT(ROUND(Table26916[[#This Row],[2016]],3),"0.0")</f>
        <v>semis_procurement_archetype_8.2</v>
      </c>
      <c r="B123" s="4">
        <f t="shared" si="13"/>
        <v>8.2</v>
      </c>
      <c r="C123" s="4">
        <f t="shared" si="21"/>
        <v>8.2</v>
      </c>
      <c r="D123" s="4">
        <f t="shared" si="21"/>
        <v>8.2</v>
      </c>
      <c r="E123" s="4">
        <f t="shared" si="21"/>
        <v>8.00743096768091</v>
      </c>
      <c r="F123" s="4">
        <f t="shared" si="21"/>
        <v>7.54188410118388</v>
      </c>
      <c r="G123" s="4">
        <f t="shared" si="21"/>
        <v>7.60696869107736</v>
      </c>
      <c r="H123" s="4">
        <f t="shared" si="21"/>
        <v>7.40489339297422</v>
      </c>
      <c r="I123" s="4">
        <f t="shared" si="21"/>
        <v>7.01399268657459</v>
      </c>
      <c r="J123" s="4">
        <f t="shared" si="21"/>
        <v>6.79440428680147</v>
      </c>
      <c r="K123" s="4">
        <f t="shared" si="21"/>
        <v>6.56899215210033</v>
      </c>
      <c r="L123" s="4">
        <f t="shared" si="21"/>
        <v>6.21292730448028</v>
      </c>
      <c r="M123" s="4">
        <f t="shared" si="21"/>
        <v>6.16971210064451</v>
      </c>
      <c r="N123" s="4">
        <f t="shared" si="21"/>
        <v>5.87796075346954</v>
      </c>
      <c r="O123" s="4">
        <f t="shared" si="21"/>
        <v>5.57543886716689</v>
      </c>
      <c r="P123" s="4">
        <f t="shared" si="21"/>
        <v>5.21779538564642</v>
      </c>
      <c r="Q123" s="4">
        <f t="shared" si="21"/>
        <v>4.51960741487681</v>
      </c>
      <c r="R123" s="4">
        <f t="shared" si="21"/>
        <v>3.57772967321443</v>
      </c>
      <c r="S123" s="4">
        <f t="shared" si="20"/>
        <v>3.27736300569342</v>
      </c>
      <c r="T123" s="4">
        <f t="shared" si="20"/>
        <v>2.62445042199928</v>
      </c>
      <c r="U123" s="4">
        <f t="shared" si="20"/>
        <v>1.96646542388713</v>
      </c>
      <c r="V123" s="4">
        <f t="shared" si="20"/>
        <v>1.83965375870151</v>
      </c>
      <c r="W123" s="4">
        <f t="shared" si="20"/>
        <v>1.45702069990709</v>
      </c>
      <c r="X123" s="4">
        <f t="shared" si="20"/>
        <v>1.26285603666512</v>
      </c>
      <c r="Y123" s="4">
        <f t="shared" si="20"/>
        <v>1.06089222680767</v>
      </c>
      <c r="Z123" s="4">
        <f t="shared" si="20"/>
        <v>1.02933319332747</v>
      </c>
      <c r="AA123" s="4">
        <f t="shared" si="20"/>
        <v>0.931400069090877</v>
      </c>
      <c r="AB123" s="4">
        <f t="shared" si="20"/>
        <v>0.788396904074159</v>
      </c>
      <c r="AC123" s="4">
        <f t="shared" si="20"/>
        <v>0.671272898820042</v>
      </c>
      <c r="AD123" s="4">
        <f t="shared" si="20"/>
        <v>0.651901533127439</v>
      </c>
      <c r="AE123" s="4">
        <f t="shared" si="20"/>
        <v>0.572902809716465</v>
      </c>
      <c r="AF123" s="4">
        <f t="shared" si="20"/>
        <v>0.526829230014508</v>
      </c>
      <c r="AG123" s="4">
        <f t="shared" si="20"/>
        <v>0.492277344828747</v>
      </c>
      <c r="AH123" s="4">
        <f t="shared" si="17"/>
        <v>0.362803392622897</v>
      </c>
      <c r="AI123" s="4">
        <f t="shared" si="17"/>
        <v>0.289742045889778</v>
      </c>
      <c r="AJ123" s="4">
        <f t="shared" si="17"/>
        <v>0.254907408174699</v>
      </c>
    </row>
    <row r="124" spans="1:36">
      <c r="A124" t="str">
        <f>"semis_procurement_archetype_"&amp;TEXT(ROUND(Table26916[[#This Row],[2016]],3),"0.0")</f>
        <v>semis_procurement_archetype_8.1</v>
      </c>
      <c r="B124" s="4">
        <f t="shared" si="13"/>
        <v>8.1</v>
      </c>
      <c r="C124" s="4">
        <f t="shared" si="21"/>
        <v>8.1</v>
      </c>
      <c r="D124" s="4">
        <f t="shared" si="21"/>
        <v>8.1</v>
      </c>
      <c r="E124" s="4">
        <f t="shared" si="21"/>
        <v>7.90985471580081</v>
      </c>
      <c r="F124" s="4">
        <f t="shared" si="21"/>
        <v>7.45016740173966</v>
      </c>
      <c r="G124" s="4">
        <f t="shared" si="21"/>
        <v>7.51443281187984</v>
      </c>
      <c r="H124" s="4">
        <f t="shared" si="21"/>
        <v>7.31490091142459</v>
      </c>
      <c r="I124" s="4">
        <f t="shared" si="21"/>
        <v>6.92892023209679</v>
      </c>
      <c r="J124" s="4">
        <f t="shared" si="21"/>
        <v>6.71209565662446</v>
      </c>
      <c r="K124" s="4">
        <f t="shared" si="21"/>
        <v>6.48952064599828</v>
      </c>
      <c r="L124" s="4">
        <f t="shared" si="21"/>
        <v>6.13793736789432</v>
      </c>
      <c r="M124" s="4">
        <f t="shared" si="21"/>
        <v>6.09526608728331</v>
      </c>
      <c r="N124" s="4">
        <f t="shared" si="21"/>
        <v>5.80718683510035</v>
      </c>
      <c r="O124" s="4">
        <f t="shared" si="21"/>
        <v>5.50847260594967</v>
      </c>
      <c r="P124" s="4">
        <f t="shared" si="21"/>
        <v>5.15533056324048</v>
      </c>
      <c r="Q124" s="4">
        <f t="shared" si="21"/>
        <v>4.46593025558115</v>
      </c>
      <c r="R124" s="4">
        <f t="shared" ref="R124:AG139" si="22">(($B124-$AJ$2)*((R$2-$AJ$2)/($B$2-$AJ$2)))+$AJ$2</f>
        <v>3.53590735048331</v>
      </c>
      <c r="S124" s="4">
        <f t="shared" si="22"/>
        <v>3.23932121369935</v>
      </c>
      <c r="T124" s="4">
        <f t="shared" si="22"/>
        <v>2.59462643962981</v>
      </c>
      <c r="U124" s="4">
        <f t="shared" si="22"/>
        <v>1.94492309450668</v>
      </c>
      <c r="V124" s="4">
        <f t="shared" si="22"/>
        <v>1.81970752985382</v>
      </c>
      <c r="W124" s="4">
        <f t="shared" si="22"/>
        <v>1.4418904383294</v>
      </c>
      <c r="X124" s="4">
        <f t="shared" si="22"/>
        <v>1.25016960643362</v>
      </c>
      <c r="Y124" s="4">
        <f t="shared" si="22"/>
        <v>1.05074779098999</v>
      </c>
      <c r="Z124" s="4">
        <f t="shared" si="22"/>
        <v>1.01958597167836</v>
      </c>
      <c r="AA124" s="4">
        <f t="shared" si="22"/>
        <v>0.922885471518883</v>
      </c>
      <c r="AB124" s="4">
        <f t="shared" si="22"/>
        <v>0.781682199497294</v>
      </c>
      <c r="AC124" s="4">
        <f t="shared" si="22"/>
        <v>0.666032362151234</v>
      </c>
      <c r="AD124" s="4">
        <f t="shared" si="22"/>
        <v>0.646904811939304</v>
      </c>
      <c r="AE124" s="4">
        <f t="shared" si="22"/>
        <v>0.568900396933145</v>
      </c>
      <c r="AF124" s="4">
        <f t="shared" si="22"/>
        <v>0.523406717077156</v>
      </c>
      <c r="AG124" s="4">
        <f t="shared" si="22"/>
        <v>0.489289715245949</v>
      </c>
      <c r="AH124" s="4">
        <f t="shared" si="17"/>
        <v>0.361445372144202</v>
      </c>
      <c r="AI124" s="4">
        <f t="shared" si="17"/>
        <v>0.289303603702824</v>
      </c>
      <c r="AJ124" s="4">
        <f t="shared" si="17"/>
        <v>0.254907408174699</v>
      </c>
    </row>
    <row r="125" spans="1:36">
      <c r="A125" t="str">
        <f>"semis_procurement_archetype_"&amp;TEXT(ROUND(Table26916[[#This Row],[2016]],3),"0.0")</f>
        <v>semis_procurement_archetype_8.0</v>
      </c>
      <c r="B125" s="4">
        <f t="shared" si="13"/>
        <v>8</v>
      </c>
      <c r="C125" s="4">
        <f t="shared" ref="C125:R140" si="23">(($B125-$AJ$2)*((C$2-$AJ$2)/($B$2-$AJ$2)))+$AJ$2</f>
        <v>8</v>
      </c>
      <c r="D125" s="4">
        <f t="shared" si="23"/>
        <v>8</v>
      </c>
      <c r="E125" s="4">
        <f t="shared" si="23"/>
        <v>7.81227846392071</v>
      </c>
      <c r="F125" s="4">
        <f t="shared" si="23"/>
        <v>7.35845070229544</v>
      </c>
      <c r="G125" s="4">
        <f t="shared" si="23"/>
        <v>7.42189693268232</v>
      </c>
      <c r="H125" s="4">
        <f t="shared" si="23"/>
        <v>7.22490842987496</v>
      </c>
      <c r="I125" s="4">
        <f t="shared" si="23"/>
        <v>6.84384777761898</v>
      </c>
      <c r="J125" s="4">
        <f t="shared" si="23"/>
        <v>6.62978702644745</v>
      </c>
      <c r="K125" s="4">
        <f t="shared" si="23"/>
        <v>6.41004913989624</v>
      </c>
      <c r="L125" s="4">
        <f t="shared" si="23"/>
        <v>6.06294743130836</v>
      </c>
      <c r="M125" s="4">
        <f t="shared" si="23"/>
        <v>6.02082007392211</v>
      </c>
      <c r="N125" s="4">
        <f t="shared" si="23"/>
        <v>5.73641291673117</v>
      </c>
      <c r="O125" s="4">
        <f t="shared" si="23"/>
        <v>5.44150634473244</v>
      </c>
      <c r="P125" s="4">
        <f t="shared" si="23"/>
        <v>5.09286574083453</v>
      </c>
      <c r="Q125" s="4">
        <f t="shared" si="23"/>
        <v>4.41225309628548</v>
      </c>
      <c r="R125" s="4">
        <f t="shared" si="23"/>
        <v>3.49408502775218</v>
      </c>
      <c r="S125" s="4">
        <f t="shared" si="22"/>
        <v>3.20127942170527</v>
      </c>
      <c r="T125" s="4">
        <f t="shared" si="22"/>
        <v>2.56480245726033</v>
      </c>
      <c r="U125" s="4">
        <f t="shared" si="22"/>
        <v>1.92338076512623</v>
      </c>
      <c r="V125" s="4">
        <f t="shared" si="22"/>
        <v>1.79976130100612</v>
      </c>
      <c r="W125" s="4">
        <f t="shared" si="22"/>
        <v>1.42676017675172</v>
      </c>
      <c r="X125" s="4">
        <f t="shared" si="22"/>
        <v>1.23748317620211</v>
      </c>
      <c r="Y125" s="4">
        <f t="shared" si="22"/>
        <v>1.04060335517231</v>
      </c>
      <c r="Z125" s="4">
        <f t="shared" si="22"/>
        <v>1.00983875002924</v>
      </c>
      <c r="AA125" s="4">
        <f t="shared" si="22"/>
        <v>0.91437087394689</v>
      </c>
      <c r="AB125" s="4">
        <f t="shared" si="22"/>
        <v>0.774967494920429</v>
      </c>
      <c r="AC125" s="4">
        <f t="shared" si="22"/>
        <v>0.660791825482426</v>
      </c>
      <c r="AD125" s="4">
        <f t="shared" si="22"/>
        <v>0.641908090751168</v>
      </c>
      <c r="AE125" s="4">
        <f t="shared" si="22"/>
        <v>0.564897984149826</v>
      </c>
      <c r="AF125" s="4">
        <f t="shared" si="22"/>
        <v>0.519984204139804</v>
      </c>
      <c r="AG125" s="4">
        <f t="shared" si="22"/>
        <v>0.486302085663152</v>
      </c>
      <c r="AH125" s="4">
        <f t="shared" si="17"/>
        <v>0.360087351665508</v>
      </c>
      <c r="AI125" s="4">
        <f t="shared" si="17"/>
        <v>0.288865161515871</v>
      </c>
      <c r="AJ125" s="4">
        <f t="shared" si="17"/>
        <v>0.254907408174699</v>
      </c>
    </row>
    <row r="126" spans="1:36">
      <c r="A126" t="str">
        <f>"semis_procurement_archetype_"&amp;TEXT(ROUND(Table26916[[#This Row],[2016]],3),"0.0")</f>
        <v>semis_procurement_archetype_7.9</v>
      </c>
      <c r="B126" s="4">
        <f t="shared" si="13"/>
        <v>7.9</v>
      </c>
      <c r="C126" s="4">
        <f t="shared" si="23"/>
        <v>7.9</v>
      </c>
      <c r="D126" s="4">
        <f t="shared" si="23"/>
        <v>7.9</v>
      </c>
      <c r="E126" s="4">
        <f t="shared" si="23"/>
        <v>7.71470221204062</v>
      </c>
      <c r="F126" s="4">
        <f t="shared" si="23"/>
        <v>7.26673400285122</v>
      </c>
      <c r="G126" s="4">
        <f t="shared" si="23"/>
        <v>7.3293610534848</v>
      </c>
      <c r="H126" s="4">
        <f t="shared" si="23"/>
        <v>7.13491594832532</v>
      </c>
      <c r="I126" s="4">
        <f t="shared" si="23"/>
        <v>6.75877532314118</v>
      </c>
      <c r="J126" s="4">
        <f t="shared" si="23"/>
        <v>6.54747839627043</v>
      </c>
      <c r="K126" s="4">
        <f t="shared" si="23"/>
        <v>6.33057763379419</v>
      </c>
      <c r="L126" s="4">
        <f t="shared" si="23"/>
        <v>5.9879574947224</v>
      </c>
      <c r="M126" s="4">
        <f t="shared" si="23"/>
        <v>5.94637406056092</v>
      </c>
      <c r="N126" s="4">
        <f t="shared" si="23"/>
        <v>5.66563899836198</v>
      </c>
      <c r="O126" s="4">
        <f t="shared" si="23"/>
        <v>5.37454008351522</v>
      </c>
      <c r="P126" s="4">
        <f t="shared" si="23"/>
        <v>5.03040091842858</v>
      </c>
      <c r="Q126" s="4">
        <f t="shared" si="23"/>
        <v>4.35857593698982</v>
      </c>
      <c r="R126" s="4">
        <f t="shared" si="23"/>
        <v>3.45226270502106</v>
      </c>
      <c r="S126" s="4">
        <f t="shared" si="22"/>
        <v>3.1632376297112</v>
      </c>
      <c r="T126" s="4">
        <f t="shared" si="22"/>
        <v>2.53497847489085</v>
      </c>
      <c r="U126" s="4">
        <f t="shared" si="22"/>
        <v>1.90183843574579</v>
      </c>
      <c r="V126" s="4">
        <f t="shared" si="22"/>
        <v>1.77981507215843</v>
      </c>
      <c r="W126" s="4">
        <f t="shared" si="22"/>
        <v>1.41162991517403</v>
      </c>
      <c r="X126" s="4">
        <f t="shared" si="22"/>
        <v>1.22479674597061</v>
      </c>
      <c r="Y126" s="4">
        <f t="shared" si="22"/>
        <v>1.03045891935463</v>
      </c>
      <c r="Z126" s="4">
        <f t="shared" si="22"/>
        <v>1.00009152838012</v>
      </c>
      <c r="AA126" s="4">
        <f t="shared" si="22"/>
        <v>0.905856276374897</v>
      </c>
      <c r="AB126" s="4">
        <f t="shared" si="22"/>
        <v>0.768252790343564</v>
      </c>
      <c r="AC126" s="4">
        <f t="shared" si="22"/>
        <v>0.655551288813618</v>
      </c>
      <c r="AD126" s="4">
        <f t="shared" si="22"/>
        <v>0.636911369563032</v>
      </c>
      <c r="AE126" s="4">
        <f t="shared" si="22"/>
        <v>0.560895571366507</v>
      </c>
      <c r="AF126" s="4">
        <f t="shared" si="22"/>
        <v>0.516561691202452</v>
      </c>
      <c r="AG126" s="4">
        <f t="shared" si="22"/>
        <v>0.483314456080354</v>
      </c>
      <c r="AH126" s="4">
        <f t="shared" si="17"/>
        <v>0.358729331186814</v>
      </c>
      <c r="AI126" s="4">
        <f t="shared" si="17"/>
        <v>0.288426719328917</v>
      </c>
      <c r="AJ126" s="4">
        <f t="shared" si="17"/>
        <v>0.254907408174699</v>
      </c>
    </row>
    <row r="127" spans="1:36">
      <c r="A127" t="str">
        <f>"semis_procurement_archetype_"&amp;TEXT(ROUND(Table26916[[#This Row],[2016]],3),"0.0")</f>
        <v>semis_procurement_archetype_7.8</v>
      </c>
      <c r="B127" s="4">
        <f t="shared" si="13"/>
        <v>7.8</v>
      </c>
      <c r="C127" s="4">
        <f t="shared" si="23"/>
        <v>7.8</v>
      </c>
      <c r="D127" s="4">
        <f t="shared" si="23"/>
        <v>7.8</v>
      </c>
      <c r="E127" s="4">
        <f t="shared" si="23"/>
        <v>7.61712596016053</v>
      </c>
      <c r="F127" s="4">
        <f t="shared" si="23"/>
        <v>7.17501730340701</v>
      </c>
      <c r="G127" s="4">
        <f t="shared" si="23"/>
        <v>7.23682517428728</v>
      </c>
      <c r="H127" s="4">
        <f t="shared" si="23"/>
        <v>7.04492346677569</v>
      </c>
      <c r="I127" s="4">
        <f t="shared" si="23"/>
        <v>6.67370286866338</v>
      </c>
      <c r="J127" s="4">
        <f t="shared" si="23"/>
        <v>6.46516976609342</v>
      </c>
      <c r="K127" s="4">
        <f t="shared" si="23"/>
        <v>6.25110612769215</v>
      </c>
      <c r="L127" s="4">
        <f t="shared" si="23"/>
        <v>5.91296755813644</v>
      </c>
      <c r="M127" s="4">
        <f t="shared" si="23"/>
        <v>5.87192804719972</v>
      </c>
      <c r="N127" s="4">
        <f t="shared" si="23"/>
        <v>5.59486507999279</v>
      </c>
      <c r="O127" s="4">
        <f t="shared" si="23"/>
        <v>5.30757382229799</v>
      </c>
      <c r="P127" s="4">
        <f t="shared" si="23"/>
        <v>4.96793609602264</v>
      </c>
      <c r="Q127" s="4">
        <f t="shared" si="23"/>
        <v>4.30489877769415</v>
      </c>
      <c r="R127" s="4">
        <f t="shared" si="23"/>
        <v>3.41044038228994</v>
      </c>
      <c r="S127" s="4">
        <f t="shared" si="22"/>
        <v>3.12519583771713</v>
      </c>
      <c r="T127" s="4">
        <f t="shared" si="22"/>
        <v>2.50515449252138</v>
      </c>
      <c r="U127" s="4">
        <f t="shared" si="22"/>
        <v>1.88029610636534</v>
      </c>
      <c r="V127" s="4">
        <f t="shared" si="22"/>
        <v>1.75986884331073</v>
      </c>
      <c r="W127" s="4">
        <f t="shared" si="22"/>
        <v>1.39649965359635</v>
      </c>
      <c r="X127" s="4">
        <f t="shared" si="22"/>
        <v>1.2121103157391</v>
      </c>
      <c r="Y127" s="4">
        <f t="shared" si="22"/>
        <v>1.02031448353695</v>
      </c>
      <c r="Z127" s="4">
        <f t="shared" si="22"/>
        <v>0.990344306731007</v>
      </c>
      <c r="AA127" s="4">
        <f t="shared" si="22"/>
        <v>0.897341678802904</v>
      </c>
      <c r="AB127" s="4">
        <f t="shared" si="22"/>
        <v>0.761538085766699</v>
      </c>
      <c r="AC127" s="4">
        <f t="shared" si="22"/>
        <v>0.65031075214481</v>
      </c>
      <c r="AD127" s="4">
        <f t="shared" si="22"/>
        <v>0.631914648374896</v>
      </c>
      <c r="AE127" s="4">
        <f t="shared" si="22"/>
        <v>0.556893158583188</v>
      </c>
      <c r="AF127" s="4">
        <f t="shared" si="22"/>
        <v>0.5131391782651</v>
      </c>
      <c r="AG127" s="4">
        <f t="shared" si="22"/>
        <v>0.480326826497556</v>
      </c>
      <c r="AH127" s="4">
        <f t="shared" si="17"/>
        <v>0.35737131070812</v>
      </c>
      <c r="AI127" s="4">
        <f t="shared" si="17"/>
        <v>0.287988277141964</v>
      </c>
      <c r="AJ127" s="4">
        <f t="shared" si="17"/>
        <v>0.254907408174699</v>
      </c>
    </row>
    <row r="128" spans="1:36">
      <c r="A128" t="str">
        <f>"semis_procurement_archetype_"&amp;TEXT(ROUND(Table26916[[#This Row],[2016]],3),"0.0")</f>
        <v>semis_procurement_archetype_7.7</v>
      </c>
      <c r="B128" s="4">
        <f t="shared" si="13"/>
        <v>7.7</v>
      </c>
      <c r="C128" s="4">
        <f t="shared" si="23"/>
        <v>7.7</v>
      </c>
      <c r="D128" s="4">
        <f t="shared" si="23"/>
        <v>7.7</v>
      </c>
      <c r="E128" s="4">
        <f t="shared" si="23"/>
        <v>7.51954970828043</v>
      </c>
      <c r="F128" s="4">
        <f t="shared" si="23"/>
        <v>7.08330060396279</v>
      </c>
      <c r="G128" s="4">
        <f t="shared" si="23"/>
        <v>7.14428929508975</v>
      </c>
      <c r="H128" s="4">
        <f t="shared" si="23"/>
        <v>6.95493098522606</v>
      </c>
      <c r="I128" s="4">
        <f t="shared" si="23"/>
        <v>6.58863041418557</v>
      </c>
      <c r="J128" s="4">
        <f t="shared" si="23"/>
        <v>6.38286113591641</v>
      </c>
      <c r="K128" s="4">
        <f t="shared" si="23"/>
        <v>6.1716346215901</v>
      </c>
      <c r="L128" s="4">
        <f t="shared" si="23"/>
        <v>5.83797762155048</v>
      </c>
      <c r="M128" s="4">
        <f t="shared" si="23"/>
        <v>5.79748203383852</v>
      </c>
      <c r="N128" s="4">
        <f t="shared" si="23"/>
        <v>5.5240911616236</v>
      </c>
      <c r="O128" s="4">
        <f t="shared" si="23"/>
        <v>5.24060756108076</v>
      </c>
      <c r="P128" s="4">
        <f t="shared" si="23"/>
        <v>4.90547127361669</v>
      </c>
      <c r="Q128" s="4">
        <f t="shared" si="23"/>
        <v>4.25122161839849</v>
      </c>
      <c r="R128" s="4">
        <f t="shared" si="23"/>
        <v>3.36861805955881</v>
      </c>
      <c r="S128" s="4">
        <f t="shared" si="22"/>
        <v>3.08715404572305</v>
      </c>
      <c r="T128" s="4">
        <f t="shared" si="22"/>
        <v>2.4753305101519</v>
      </c>
      <c r="U128" s="4">
        <f t="shared" si="22"/>
        <v>1.85875377698489</v>
      </c>
      <c r="V128" s="4">
        <f t="shared" si="22"/>
        <v>1.73992261446303</v>
      </c>
      <c r="W128" s="4">
        <f t="shared" si="22"/>
        <v>1.38136939201867</v>
      </c>
      <c r="X128" s="4">
        <f t="shared" si="22"/>
        <v>1.1994238855076</v>
      </c>
      <c r="Y128" s="4">
        <f t="shared" si="22"/>
        <v>1.01017004771927</v>
      </c>
      <c r="Z128" s="4">
        <f t="shared" si="22"/>
        <v>0.980597085081891</v>
      </c>
      <c r="AA128" s="4">
        <f t="shared" si="22"/>
        <v>0.88882708123091</v>
      </c>
      <c r="AB128" s="4">
        <f t="shared" si="22"/>
        <v>0.754823381189834</v>
      </c>
      <c r="AC128" s="4">
        <f t="shared" si="22"/>
        <v>0.645070215476002</v>
      </c>
      <c r="AD128" s="4">
        <f t="shared" si="22"/>
        <v>0.626917927186761</v>
      </c>
      <c r="AE128" s="4">
        <f t="shared" si="22"/>
        <v>0.552890745799869</v>
      </c>
      <c r="AF128" s="4">
        <f t="shared" si="22"/>
        <v>0.509716665327749</v>
      </c>
      <c r="AG128" s="4">
        <f t="shared" si="22"/>
        <v>0.477339196914758</v>
      </c>
      <c r="AH128" s="4">
        <f t="shared" si="17"/>
        <v>0.356013290229426</v>
      </c>
      <c r="AI128" s="4">
        <f t="shared" si="17"/>
        <v>0.28754983495501</v>
      </c>
      <c r="AJ128" s="4">
        <f t="shared" si="17"/>
        <v>0.254907408174699</v>
      </c>
    </row>
    <row r="129" spans="1:36">
      <c r="A129" t="str">
        <f>"semis_procurement_archetype_"&amp;TEXT(ROUND(Table26916[[#This Row],[2016]],3),"0.0")</f>
        <v>semis_procurement_archetype_7.6</v>
      </c>
      <c r="B129" s="4">
        <f t="shared" si="13"/>
        <v>7.6</v>
      </c>
      <c r="C129" s="4">
        <f t="shared" si="23"/>
        <v>7.6</v>
      </c>
      <c r="D129" s="4">
        <f t="shared" si="23"/>
        <v>7.6</v>
      </c>
      <c r="E129" s="4">
        <f t="shared" si="23"/>
        <v>7.42197345640034</v>
      </c>
      <c r="F129" s="4">
        <f t="shared" si="23"/>
        <v>6.99158390451857</v>
      </c>
      <c r="G129" s="4">
        <f t="shared" si="23"/>
        <v>7.05175341589223</v>
      </c>
      <c r="H129" s="4">
        <f t="shared" si="23"/>
        <v>6.86493850367643</v>
      </c>
      <c r="I129" s="4">
        <f t="shared" si="23"/>
        <v>6.50355795970777</v>
      </c>
      <c r="J129" s="4">
        <f t="shared" si="23"/>
        <v>6.30055250573939</v>
      </c>
      <c r="K129" s="4">
        <f t="shared" si="23"/>
        <v>6.09216311548806</v>
      </c>
      <c r="L129" s="4">
        <f t="shared" si="23"/>
        <v>5.76298768496452</v>
      </c>
      <c r="M129" s="4">
        <f t="shared" si="23"/>
        <v>5.72303602047732</v>
      </c>
      <c r="N129" s="4">
        <f t="shared" si="23"/>
        <v>5.45331724325441</v>
      </c>
      <c r="O129" s="4">
        <f t="shared" si="23"/>
        <v>5.17364129986354</v>
      </c>
      <c r="P129" s="4">
        <f t="shared" si="23"/>
        <v>4.84300645121074</v>
      </c>
      <c r="Q129" s="4">
        <f t="shared" si="23"/>
        <v>4.19754445910283</v>
      </c>
      <c r="R129" s="4">
        <f t="shared" si="23"/>
        <v>3.32679573682769</v>
      </c>
      <c r="S129" s="4">
        <f t="shared" si="22"/>
        <v>3.04911225372898</v>
      </c>
      <c r="T129" s="4">
        <f t="shared" si="22"/>
        <v>2.44550652778242</v>
      </c>
      <c r="U129" s="4">
        <f t="shared" si="22"/>
        <v>1.83721144760445</v>
      </c>
      <c r="V129" s="4">
        <f t="shared" si="22"/>
        <v>1.71997638561534</v>
      </c>
      <c r="W129" s="4">
        <f t="shared" si="22"/>
        <v>1.36623913044098</v>
      </c>
      <c r="X129" s="4">
        <f t="shared" si="22"/>
        <v>1.18673745527609</v>
      </c>
      <c r="Y129" s="4">
        <f t="shared" si="22"/>
        <v>1.00002561190159</v>
      </c>
      <c r="Z129" s="4">
        <f t="shared" si="22"/>
        <v>0.970849863432774</v>
      </c>
      <c r="AA129" s="4">
        <f t="shared" si="22"/>
        <v>0.880312483658917</v>
      </c>
      <c r="AB129" s="4">
        <f t="shared" si="22"/>
        <v>0.748108676612969</v>
      </c>
      <c r="AC129" s="4">
        <f t="shared" si="22"/>
        <v>0.639829678807194</v>
      </c>
      <c r="AD129" s="4">
        <f t="shared" si="22"/>
        <v>0.621921205998625</v>
      </c>
      <c r="AE129" s="4">
        <f t="shared" si="22"/>
        <v>0.548888333016549</v>
      </c>
      <c r="AF129" s="4">
        <f t="shared" si="22"/>
        <v>0.506294152390397</v>
      </c>
      <c r="AG129" s="4">
        <f t="shared" si="22"/>
        <v>0.47435156733196</v>
      </c>
      <c r="AH129" s="4">
        <f t="shared" si="17"/>
        <v>0.354655269750732</v>
      </c>
      <c r="AI129" s="4">
        <f t="shared" si="17"/>
        <v>0.287111392768057</v>
      </c>
      <c r="AJ129" s="4">
        <f t="shared" si="17"/>
        <v>0.254907408174699</v>
      </c>
    </row>
    <row r="130" spans="1:36">
      <c r="A130" t="str">
        <f>"semis_procurement_archetype_"&amp;TEXT(ROUND(Table26916[[#This Row],[2016]],3),"0.0")</f>
        <v>semis_procurement_archetype_7.5</v>
      </c>
      <c r="B130" s="4">
        <f t="shared" si="13"/>
        <v>7.5</v>
      </c>
      <c r="C130" s="4">
        <f t="shared" si="23"/>
        <v>7.5</v>
      </c>
      <c r="D130" s="4">
        <f t="shared" si="23"/>
        <v>7.5</v>
      </c>
      <c r="E130" s="4">
        <f t="shared" si="23"/>
        <v>7.32439720452024</v>
      </c>
      <c r="F130" s="4">
        <f t="shared" si="23"/>
        <v>6.89986720507436</v>
      </c>
      <c r="G130" s="4">
        <f t="shared" si="23"/>
        <v>6.95921753669471</v>
      </c>
      <c r="H130" s="4">
        <f t="shared" si="23"/>
        <v>6.7749460221268</v>
      </c>
      <c r="I130" s="4">
        <f t="shared" si="23"/>
        <v>6.41848550522997</v>
      </c>
      <c r="J130" s="4">
        <f t="shared" si="23"/>
        <v>6.21824387556238</v>
      </c>
      <c r="K130" s="4">
        <f t="shared" si="23"/>
        <v>6.01269160938601</v>
      </c>
      <c r="L130" s="4">
        <f t="shared" si="23"/>
        <v>5.68799774837856</v>
      </c>
      <c r="M130" s="4">
        <f t="shared" si="23"/>
        <v>5.64859000711612</v>
      </c>
      <c r="N130" s="4">
        <f t="shared" si="23"/>
        <v>5.38254332488522</v>
      </c>
      <c r="O130" s="4">
        <f t="shared" si="23"/>
        <v>5.10667503864631</v>
      </c>
      <c r="P130" s="4">
        <f t="shared" si="23"/>
        <v>4.7805416288048</v>
      </c>
      <c r="Q130" s="4">
        <f t="shared" si="23"/>
        <v>4.14386729980716</v>
      </c>
      <c r="R130" s="4">
        <f t="shared" si="23"/>
        <v>3.28497341409657</v>
      </c>
      <c r="S130" s="4">
        <f t="shared" si="22"/>
        <v>3.0110704617349</v>
      </c>
      <c r="T130" s="4">
        <f t="shared" si="22"/>
        <v>2.41568254541295</v>
      </c>
      <c r="U130" s="4">
        <f t="shared" si="22"/>
        <v>1.815669118224</v>
      </c>
      <c r="V130" s="4">
        <f t="shared" si="22"/>
        <v>1.70003015676764</v>
      </c>
      <c r="W130" s="4">
        <f t="shared" si="22"/>
        <v>1.3511088688633</v>
      </c>
      <c r="X130" s="4">
        <f t="shared" si="22"/>
        <v>1.17405102504458</v>
      </c>
      <c r="Y130" s="4">
        <f t="shared" si="22"/>
        <v>0.989881176083911</v>
      </c>
      <c r="Z130" s="4">
        <f t="shared" si="22"/>
        <v>0.961102641783657</v>
      </c>
      <c r="AA130" s="4">
        <f t="shared" si="22"/>
        <v>0.871797886086924</v>
      </c>
      <c r="AB130" s="4">
        <f t="shared" si="22"/>
        <v>0.741393972036104</v>
      </c>
      <c r="AC130" s="4">
        <f t="shared" si="22"/>
        <v>0.634589142138386</v>
      </c>
      <c r="AD130" s="4">
        <f t="shared" si="22"/>
        <v>0.616924484810489</v>
      </c>
      <c r="AE130" s="4">
        <f t="shared" si="22"/>
        <v>0.54488592023323</v>
      </c>
      <c r="AF130" s="4">
        <f t="shared" si="22"/>
        <v>0.502871639453045</v>
      </c>
      <c r="AG130" s="4">
        <f t="shared" si="22"/>
        <v>0.471363937749163</v>
      </c>
      <c r="AH130" s="4">
        <f t="shared" si="17"/>
        <v>0.353297249272038</v>
      </c>
      <c r="AI130" s="4">
        <f t="shared" si="17"/>
        <v>0.286672950581103</v>
      </c>
      <c r="AJ130" s="4">
        <f t="shared" si="17"/>
        <v>0.254907408174699</v>
      </c>
    </row>
    <row r="131" spans="1:36">
      <c r="A131" t="str">
        <f>"semis_procurement_archetype_"&amp;TEXT(ROUND(Table26916[[#This Row],[2016]],3),"0.0")</f>
        <v>semis_procurement_archetype_7.4</v>
      </c>
      <c r="B131" s="4">
        <f t="shared" si="13"/>
        <v>7.4</v>
      </c>
      <c r="C131" s="4">
        <f t="shared" si="23"/>
        <v>7.4</v>
      </c>
      <c r="D131" s="4">
        <f t="shared" si="23"/>
        <v>7.4</v>
      </c>
      <c r="E131" s="4">
        <f t="shared" si="23"/>
        <v>7.22682095264015</v>
      </c>
      <c r="F131" s="4">
        <f t="shared" si="23"/>
        <v>6.80815050563014</v>
      </c>
      <c r="G131" s="4">
        <f t="shared" si="23"/>
        <v>6.86668165749719</v>
      </c>
      <c r="H131" s="4">
        <f t="shared" si="23"/>
        <v>6.68495354057717</v>
      </c>
      <c r="I131" s="4">
        <f t="shared" si="23"/>
        <v>6.33341305075217</v>
      </c>
      <c r="J131" s="4">
        <f t="shared" si="23"/>
        <v>6.13593524538537</v>
      </c>
      <c r="K131" s="4">
        <f t="shared" si="23"/>
        <v>5.93322010328396</v>
      </c>
      <c r="L131" s="4">
        <f t="shared" si="23"/>
        <v>5.61300781179261</v>
      </c>
      <c r="M131" s="4">
        <f t="shared" si="23"/>
        <v>5.57414399375493</v>
      </c>
      <c r="N131" s="4">
        <f t="shared" si="23"/>
        <v>5.31176940651604</v>
      </c>
      <c r="O131" s="4">
        <f t="shared" si="23"/>
        <v>5.03970877742909</v>
      </c>
      <c r="P131" s="4">
        <f t="shared" si="23"/>
        <v>4.71807680639885</v>
      </c>
      <c r="Q131" s="4">
        <f t="shared" si="23"/>
        <v>4.0901901405115</v>
      </c>
      <c r="R131" s="4">
        <f t="shared" si="23"/>
        <v>3.24315109136544</v>
      </c>
      <c r="S131" s="4">
        <f t="shared" si="22"/>
        <v>2.97302866974083</v>
      </c>
      <c r="T131" s="4">
        <f t="shared" si="22"/>
        <v>2.38585856304347</v>
      </c>
      <c r="U131" s="4">
        <f t="shared" si="22"/>
        <v>1.79412678884356</v>
      </c>
      <c r="V131" s="4">
        <f t="shared" si="22"/>
        <v>1.68008392791995</v>
      </c>
      <c r="W131" s="4">
        <f t="shared" si="22"/>
        <v>1.33597860728561</v>
      </c>
      <c r="X131" s="4">
        <f t="shared" si="22"/>
        <v>1.16136459481308</v>
      </c>
      <c r="Y131" s="4">
        <f t="shared" si="22"/>
        <v>0.979736740266231</v>
      </c>
      <c r="Z131" s="4">
        <f t="shared" si="22"/>
        <v>0.95135542013454</v>
      </c>
      <c r="AA131" s="4">
        <f t="shared" si="22"/>
        <v>0.86328328851493</v>
      </c>
      <c r="AB131" s="4">
        <f t="shared" si="22"/>
        <v>0.734679267459239</v>
      </c>
      <c r="AC131" s="4">
        <f t="shared" si="22"/>
        <v>0.629348605469579</v>
      </c>
      <c r="AD131" s="4">
        <f t="shared" si="22"/>
        <v>0.611927763622353</v>
      </c>
      <c r="AE131" s="4">
        <f t="shared" si="22"/>
        <v>0.540883507449911</v>
      </c>
      <c r="AF131" s="4">
        <f t="shared" si="22"/>
        <v>0.499449126515693</v>
      </c>
      <c r="AG131" s="4">
        <f t="shared" si="22"/>
        <v>0.468376308166365</v>
      </c>
      <c r="AH131" s="4">
        <f t="shared" si="17"/>
        <v>0.351939228793344</v>
      </c>
      <c r="AI131" s="4">
        <f t="shared" si="17"/>
        <v>0.28623450839415</v>
      </c>
      <c r="AJ131" s="4">
        <f t="shared" si="17"/>
        <v>0.254907408174699</v>
      </c>
    </row>
    <row r="132" spans="1:36">
      <c r="A132" t="str">
        <f>"semis_procurement_archetype_"&amp;TEXT(ROUND(Table26916[[#This Row],[2016]],3),"0.0")</f>
        <v>semis_procurement_archetype_7.3</v>
      </c>
      <c r="B132" s="4">
        <f t="shared" si="13"/>
        <v>7.3</v>
      </c>
      <c r="C132" s="4">
        <f t="shared" si="23"/>
        <v>7.3</v>
      </c>
      <c r="D132" s="4">
        <f t="shared" si="23"/>
        <v>7.3</v>
      </c>
      <c r="E132" s="4">
        <f t="shared" si="23"/>
        <v>7.12924470076005</v>
      </c>
      <c r="F132" s="4">
        <f t="shared" si="23"/>
        <v>6.71643380618592</v>
      </c>
      <c r="G132" s="4">
        <f t="shared" si="23"/>
        <v>6.77414577829967</v>
      </c>
      <c r="H132" s="4">
        <f t="shared" si="23"/>
        <v>6.59496105902754</v>
      </c>
      <c r="I132" s="4">
        <f t="shared" si="23"/>
        <v>6.24834059627436</v>
      </c>
      <c r="J132" s="4">
        <f t="shared" si="23"/>
        <v>6.05362661520835</v>
      </c>
      <c r="K132" s="4">
        <f t="shared" si="23"/>
        <v>5.85374859718192</v>
      </c>
      <c r="L132" s="4">
        <f t="shared" si="23"/>
        <v>5.53801787520665</v>
      </c>
      <c r="M132" s="4">
        <f t="shared" si="23"/>
        <v>5.49969798039373</v>
      </c>
      <c r="N132" s="4">
        <f t="shared" si="23"/>
        <v>5.24099548814685</v>
      </c>
      <c r="O132" s="4">
        <f t="shared" si="23"/>
        <v>4.97274251621186</v>
      </c>
      <c r="P132" s="4">
        <f t="shared" si="23"/>
        <v>4.6556119839929</v>
      </c>
      <c r="Q132" s="4">
        <f t="shared" si="23"/>
        <v>4.03651298121583</v>
      </c>
      <c r="R132" s="4">
        <f t="shared" si="23"/>
        <v>3.20132876863432</v>
      </c>
      <c r="S132" s="4">
        <f t="shared" si="22"/>
        <v>2.93498687774676</v>
      </c>
      <c r="T132" s="4">
        <f t="shared" si="22"/>
        <v>2.35603458067399</v>
      </c>
      <c r="U132" s="4">
        <f t="shared" si="22"/>
        <v>1.77258445946311</v>
      </c>
      <c r="V132" s="4">
        <f t="shared" si="22"/>
        <v>1.66013769907225</v>
      </c>
      <c r="W132" s="4">
        <f t="shared" si="22"/>
        <v>1.32084834570793</v>
      </c>
      <c r="X132" s="4">
        <f t="shared" si="22"/>
        <v>1.14867816458157</v>
      </c>
      <c r="Y132" s="4">
        <f t="shared" si="22"/>
        <v>0.969592304448551</v>
      </c>
      <c r="Z132" s="4">
        <f t="shared" si="22"/>
        <v>0.941608198485423</v>
      </c>
      <c r="AA132" s="4">
        <f t="shared" si="22"/>
        <v>0.854768690942937</v>
      </c>
      <c r="AB132" s="4">
        <f t="shared" si="22"/>
        <v>0.727964562882374</v>
      </c>
      <c r="AC132" s="4">
        <f t="shared" si="22"/>
        <v>0.624108068800771</v>
      </c>
      <c r="AD132" s="4">
        <f t="shared" si="22"/>
        <v>0.606931042434217</v>
      </c>
      <c r="AE132" s="4">
        <f t="shared" si="22"/>
        <v>0.536881094666592</v>
      </c>
      <c r="AF132" s="4">
        <f t="shared" si="22"/>
        <v>0.496026613578341</v>
      </c>
      <c r="AG132" s="4">
        <f t="shared" si="22"/>
        <v>0.465388678583567</v>
      </c>
      <c r="AH132" s="4">
        <f t="shared" si="17"/>
        <v>0.350581208314649</v>
      </c>
      <c r="AI132" s="4">
        <f t="shared" si="17"/>
        <v>0.285796066207196</v>
      </c>
      <c r="AJ132" s="4">
        <f t="shared" si="17"/>
        <v>0.254907408174699</v>
      </c>
    </row>
    <row r="133" spans="1:36">
      <c r="A133" t="str">
        <f>"semis_procurement_archetype_"&amp;TEXT(ROUND(Table26916[[#This Row],[2016]],3),"0.0")</f>
        <v>semis_procurement_archetype_7.2</v>
      </c>
      <c r="B133" s="4">
        <f t="shared" si="13"/>
        <v>7.2</v>
      </c>
      <c r="C133" s="4">
        <f t="shared" si="23"/>
        <v>7.2</v>
      </c>
      <c r="D133" s="4">
        <f t="shared" si="23"/>
        <v>7.2</v>
      </c>
      <c r="E133" s="4">
        <f t="shared" si="23"/>
        <v>7.03166844887996</v>
      </c>
      <c r="F133" s="4">
        <f t="shared" si="23"/>
        <v>6.6247171067417</v>
      </c>
      <c r="G133" s="4">
        <f t="shared" si="23"/>
        <v>6.68160989910215</v>
      </c>
      <c r="H133" s="4">
        <f t="shared" si="23"/>
        <v>6.5049685774779</v>
      </c>
      <c r="I133" s="4">
        <f t="shared" si="23"/>
        <v>6.16326814179656</v>
      </c>
      <c r="J133" s="4">
        <f t="shared" si="23"/>
        <v>5.97131798503134</v>
      </c>
      <c r="K133" s="4">
        <f t="shared" si="23"/>
        <v>5.77427709107987</v>
      </c>
      <c r="L133" s="4">
        <f t="shared" si="23"/>
        <v>5.46302793862069</v>
      </c>
      <c r="M133" s="4">
        <f t="shared" si="23"/>
        <v>5.42525196703253</v>
      </c>
      <c r="N133" s="4">
        <f t="shared" si="23"/>
        <v>5.17022156977766</v>
      </c>
      <c r="O133" s="4">
        <f t="shared" si="23"/>
        <v>4.90577625499464</v>
      </c>
      <c r="P133" s="4">
        <f t="shared" si="23"/>
        <v>4.59314716158695</v>
      </c>
      <c r="Q133" s="4">
        <f t="shared" si="23"/>
        <v>3.98283582192017</v>
      </c>
      <c r="R133" s="4">
        <f t="shared" si="23"/>
        <v>3.1595064459032</v>
      </c>
      <c r="S133" s="4">
        <f t="shared" si="22"/>
        <v>2.89694508575268</v>
      </c>
      <c r="T133" s="4">
        <f t="shared" si="22"/>
        <v>2.32621059830452</v>
      </c>
      <c r="U133" s="4">
        <f t="shared" si="22"/>
        <v>1.75104213008266</v>
      </c>
      <c r="V133" s="4">
        <f t="shared" si="22"/>
        <v>1.64019147022455</v>
      </c>
      <c r="W133" s="4">
        <f t="shared" si="22"/>
        <v>1.30571808413024</v>
      </c>
      <c r="X133" s="4">
        <f t="shared" si="22"/>
        <v>1.13599173435007</v>
      </c>
      <c r="Y133" s="4">
        <f t="shared" si="22"/>
        <v>0.959447868630871</v>
      </c>
      <c r="Z133" s="4">
        <f t="shared" si="22"/>
        <v>0.931860976836306</v>
      </c>
      <c r="AA133" s="4">
        <f t="shared" si="22"/>
        <v>0.846254093370944</v>
      </c>
      <c r="AB133" s="4">
        <f t="shared" si="22"/>
        <v>0.721249858305509</v>
      </c>
      <c r="AC133" s="4">
        <f t="shared" si="22"/>
        <v>0.618867532131963</v>
      </c>
      <c r="AD133" s="4">
        <f t="shared" si="22"/>
        <v>0.601934321246082</v>
      </c>
      <c r="AE133" s="4">
        <f t="shared" si="22"/>
        <v>0.532878681883272</v>
      </c>
      <c r="AF133" s="4">
        <f t="shared" si="22"/>
        <v>0.492604100640989</v>
      </c>
      <c r="AG133" s="4">
        <f t="shared" si="22"/>
        <v>0.462401049000769</v>
      </c>
      <c r="AH133" s="4">
        <f t="shared" si="17"/>
        <v>0.349223187835955</v>
      </c>
      <c r="AI133" s="4">
        <f t="shared" si="17"/>
        <v>0.285357624020243</v>
      </c>
      <c r="AJ133" s="4">
        <f t="shared" si="17"/>
        <v>0.254907408174699</v>
      </c>
    </row>
    <row r="134" spans="1:36">
      <c r="A134" t="str">
        <f>"semis_procurement_archetype_"&amp;TEXT(ROUND(Table26916[[#This Row],[2016]],3),"0.0")</f>
        <v>semis_procurement_archetype_7.1</v>
      </c>
      <c r="B134" s="4">
        <f t="shared" si="13"/>
        <v>7.1</v>
      </c>
      <c r="C134" s="4">
        <f t="shared" si="23"/>
        <v>7.1</v>
      </c>
      <c r="D134" s="4">
        <f t="shared" si="23"/>
        <v>7.1</v>
      </c>
      <c r="E134" s="4">
        <f t="shared" si="23"/>
        <v>6.93409219699986</v>
      </c>
      <c r="F134" s="4">
        <f t="shared" si="23"/>
        <v>6.53300040729749</v>
      </c>
      <c r="G134" s="4">
        <f t="shared" si="23"/>
        <v>6.58907401990463</v>
      </c>
      <c r="H134" s="4">
        <f t="shared" si="23"/>
        <v>6.41497609592827</v>
      </c>
      <c r="I134" s="4">
        <f t="shared" si="23"/>
        <v>6.07819568731876</v>
      </c>
      <c r="J134" s="4">
        <f t="shared" si="23"/>
        <v>5.88900935485433</v>
      </c>
      <c r="K134" s="4">
        <f t="shared" si="23"/>
        <v>5.69480558497783</v>
      </c>
      <c r="L134" s="4">
        <f t="shared" si="23"/>
        <v>5.38803800203473</v>
      </c>
      <c r="M134" s="4">
        <f t="shared" si="23"/>
        <v>5.35080595367133</v>
      </c>
      <c r="N134" s="4">
        <f t="shared" si="23"/>
        <v>5.09944765140847</v>
      </c>
      <c r="O134" s="4">
        <f t="shared" si="23"/>
        <v>4.83880999377741</v>
      </c>
      <c r="P134" s="4">
        <f t="shared" si="23"/>
        <v>4.53068233918101</v>
      </c>
      <c r="Q134" s="4">
        <f t="shared" si="23"/>
        <v>3.9291586626245</v>
      </c>
      <c r="R134" s="4">
        <f t="shared" si="23"/>
        <v>3.11768412317207</v>
      </c>
      <c r="S134" s="4">
        <f t="shared" si="22"/>
        <v>2.85890329375861</v>
      </c>
      <c r="T134" s="4">
        <f t="shared" si="22"/>
        <v>2.29638661593504</v>
      </c>
      <c r="U134" s="4">
        <f t="shared" si="22"/>
        <v>1.72949980070222</v>
      </c>
      <c r="V134" s="4">
        <f t="shared" si="22"/>
        <v>1.62024524137686</v>
      </c>
      <c r="W134" s="4">
        <f t="shared" si="22"/>
        <v>1.29058782255256</v>
      </c>
      <c r="X134" s="4">
        <f t="shared" si="22"/>
        <v>1.12330530411856</v>
      </c>
      <c r="Y134" s="4">
        <f t="shared" si="22"/>
        <v>0.94930343281319</v>
      </c>
      <c r="Z134" s="4">
        <f t="shared" si="22"/>
        <v>0.922113755187189</v>
      </c>
      <c r="AA134" s="4">
        <f t="shared" si="22"/>
        <v>0.83773949579895</v>
      </c>
      <c r="AB134" s="4">
        <f t="shared" si="22"/>
        <v>0.714535153728644</v>
      </c>
      <c r="AC134" s="4">
        <f t="shared" si="22"/>
        <v>0.613626995463155</v>
      </c>
      <c r="AD134" s="4">
        <f t="shared" si="22"/>
        <v>0.596937600057946</v>
      </c>
      <c r="AE134" s="4">
        <f t="shared" si="22"/>
        <v>0.528876269099953</v>
      </c>
      <c r="AF134" s="4">
        <f t="shared" si="22"/>
        <v>0.489181587703637</v>
      </c>
      <c r="AG134" s="4">
        <f t="shared" si="22"/>
        <v>0.459413419417972</v>
      </c>
      <c r="AH134" s="4">
        <f t="shared" si="17"/>
        <v>0.347865167357261</v>
      </c>
      <c r="AI134" s="4">
        <f t="shared" si="17"/>
        <v>0.284919181833289</v>
      </c>
      <c r="AJ134" s="4">
        <f t="shared" si="17"/>
        <v>0.254907408174699</v>
      </c>
    </row>
    <row r="135" spans="1:36">
      <c r="A135" t="str">
        <f>"semis_procurement_archetype_"&amp;TEXT(ROUND(Table26916[[#This Row],[2016]],3),"0.0")</f>
        <v>semis_procurement_archetype_7.0</v>
      </c>
      <c r="B135" s="4">
        <f t="shared" ref="B135:B198" si="24">MROUND(B134-0.1,0.1)</f>
        <v>7</v>
      </c>
      <c r="C135" s="4">
        <f t="shared" si="23"/>
        <v>7</v>
      </c>
      <c r="D135" s="4">
        <f t="shared" si="23"/>
        <v>7</v>
      </c>
      <c r="E135" s="4">
        <f t="shared" si="23"/>
        <v>6.83651594511977</v>
      </c>
      <c r="F135" s="4">
        <f t="shared" si="23"/>
        <v>6.44128370785327</v>
      </c>
      <c r="G135" s="4">
        <f t="shared" si="23"/>
        <v>6.49653814070711</v>
      </c>
      <c r="H135" s="4">
        <f t="shared" si="23"/>
        <v>6.32498361437864</v>
      </c>
      <c r="I135" s="4">
        <f t="shared" si="23"/>
        <v>5.99312323284095</v>
      </c>
      <c r="J135" s="4">
        <f t="shared" si="23"/>
        <v>5.80670072467731</v>
      </c>
      <c r="K135" s="4">
        <f t="shared" si="23"/>
        <v>5.61533407887578</v>
      </c>
      <c r="L135" s="4">
        <f t="shared" si="23"/>
        <v>5.31304806544877</v>
      </c>
      <c r="M135" s="4">
        <f t="shared" si="23"/>
        <v>5.27635994031013</v>
      </c>
      <c r="N135" s="4">
        <f t="shared" si="23"/>
        <v>5.02867373303928</v>
      </c>
      <c r="O135" s="4">
        <f t="shared" si="23"/>
        <v>4.77184373256018</v>
      </c>
      <c r="P135" s="4">
        <f t="shared" si="23"/>
        <v>4.46821751677506</v>
      </c>
      <c r="Q135" s="4">
        <f t="shared" si="23"/>
        <v>3.87548150332884</v>
      </c>
      <c r="R135" s="4">
        <f t="shared" si="23"/>
        <v>3.07586180044095</v>
      </c>
      <c r="S135" s="4">
        <f t="shared" si="22"/>
        <v>2.82086150176454</v>
      </c>
      <c r="T135" s="4">
        <f t="shared" si="22"/>
        <v>2.26656263356556</v>
      </c>
      <c r="U135" s="4">
        <f t="shared" si="22"/>
        <v>1.70795747132177</v>
      </c>
      <c r="V135" s="4">
        <f t="shared" si="22"/>
        <v>1.60029901252916</v>
      </c>
      <c r="W135" s="4">
        <f t="shared" si="22"/>
        <v>1.27545756097487</v>
      </c>
      <c r="X135" s="4">
        <f t="shared" si="22"/>
        <v>1.11061887388706</v>
      </c>
      <c r="Y135" s="4">
        <f t="shared" si="22"/>
        <v>0.93915899699551</v>
      </c>
      <c r="Z135" s="4">
        <f t="shared" si="22"/>
        <v>0.912366533538073</v>
      </c>
      <c r="AA135" s="4">
        <f t="shared" si="22"/>
        <v>0.829224898226957</v>
      </c>
      <c r="AB135" s="4">
        <f t="shared" si="22"/>
        <v>0.707820449151779</v>
      </c>
      <c r="AC135" s="4">
        <f t="shared" si="22"/>
        <v>0.608386458794347</v>
      </c>
      <c r="AD135" s="4">
        <f t="shared" si="22"/>
        <v>0.59194087886981</v>
      </c>
      <c r="AE135" s="4">
        <f t="shared" si="22"/>
        <v>0.524873856316634</v>
      </c>
      <c r="AF135" s="4">
        <f t="shared" si="22"/>
        <v>0.485759074766285</v>
      </c>
      <c r="AG135" s="4">
        <f t="shared" si="22"/>
        <v>0.456425789835174</v>
      </c>
      <c r="AH135" s="4">
        <f t="shared" si="17"/>
        <v>0.346507146878567</v>
      </c>
      <c r="AI135" s="4">
        <f t="shared" si="17"/>
        <v>0.284480739646336</v>
      </c>
      <c r="AJ135" s="4">
        <f t="shared" si="17"/>
        <v>0.254907408174699</v>
      </c>
    </row>
    <row r="136" spans="1:36">
      <c r="A136" t="str">
        <f>"semis_procurement_archetype_"&amp;TEXT(ROUND(Table26916[[#This Row],[2016]],3),"0.0")</f>
        <v>semis_procurement_archetype_6.9</v>
      </c>
      <c r="B136" s="4">
        <f t="shared" si="24"/>
        <v>6.9</v>
      </c>
      <c r="C136" s="4">
        <f t="shared" si="23"/>
        <v>6.9</v>
      </c>
      <c r="D136" s="4">
        <f t="shared" si="23"/>
        <v>6.9</v>
      </c>
      <c r="E136" s="4">
        <f t="shared" si="23"/>
        <v>6.73893969323967</v>
      </c>
      <c r="F136" s="4">
        <f t="shared" si="23"/>
        <v>6.34956700840905</v>
      </c>
      <c r="G136" s="4">
        <f t="shared" si="23"/>
        <v>6.40400226150959</v>
      </c>
      <c r="H136" s="4">
        <f t="shared" si="23"/>
        <v>6.23499113282901</v>
      </c>
      <c r="I136" s="4">
        <f t="shared" si="23"/>
        <v>5.90805077836315</v>
      </c>
      <c r="J136" s="4">
        <f t="shared" si="23"/>
        <v>5.7243920945003</v>
      </c>
      <c r="K136" s="4">
        <f t="shared" si="23"/>
        <v>5.53586257277373</v>
      </c>
      <c r="L136" s="4">
        <f t="shared" si="23"/>
        <v>5.23805812886281</v>
      </c>
      <c r="M136" s="4">
        <f t="shared" si="23"/>
        <v>5.20191392694894</v>
      </c>
      <c r="N136" s="4">
        <f t="shared" si="23"/>
        <v>4.9578998146701</v>
      </c>
      <c r="O136" s="4">
        <f t="shared" si="23"/>
        <v>4.70487747134296</v>
      </c>
      <c r="P136" s="4">
        <f t="shared" si="23"/>
        <v>4.40575269436911</v>
      </c>
      <c r="Q136" s="4">
        <f t="shared" si="23"/>
        <v>3.82180434403317</v>
      </c>
      <c r="R136" s="4">
        <f t="shared" si="23"/>
        <v>3.03403947770983</v>
      </c>
      <c r="S136" s="4">
        <f t="shared" si="22"/>
        <v>2.78281970977046</v>
      </c>
      <c r="T136" s="4">
        <f t="shared" si="22"/>
        <v>2.23673865119609</v>
      </c>
      <c r="U136" s="4">
        <f t="shared" si="22"/>
        <v>1.68641514194133</v>
      </c>
      <c r="V136" s="4">
        <f t="shared" si="22"/>
        <v>1.58035278368147</v>
      </c>
      <c r="W136" s="4">
        <f t="shared" si="22"/>
        <v>1.26032729939719</v>
      </c>
      <c r="X136" s="4">
        <f t="shared" si="22"/>
        <v>1.09793244365555</v>
      </c>
      <c r="Y136" s="4">
        <f t="shared" si="22"/>
        <v>0.92901456117783</v>
      </c>
      <c r="Z136" s="4">
        <f t="shared" si="22"/>
        <v>0.902619311888956</v>
      </c>
      <c r="AA136" s="4">
        <f t="shared" si="22"/>
        <v>0.820710300654964</v>
      </c>
      <c r="AB136" s="4">
        <f t="shared" si="22"/>
        <v>0.701105744574914</v>
      </c>
      <c r="AC136" s="4">
        <f t="shared" si="22"/>
        <v>0.603145922125539</v>
      </c>
      <c r="AD136" s="4">
        <f t="shared" si="22"/>
        <v>0.586944157681674</v>
      </c>
      <c r="AE136" s="4">
        <f t="shared" si="22"/>
        <v>0.520871443533315</v>
      </c>
      <c r="AF136" s="4">
        <f t="shared" si="22"/>
        <v>0.482336561828933</v>
      </c>
      <c r="AG136" s="4">
        <f t="shared" si="22"/>
        <v>0.453438160252376</v>
      </c>
      <c r="AH136" s="4">
        <f t="shared" si="17"/>
        <v>0.345149126399873</v>
      </c>
      <c r="AI136" s="4">
        <f t="shared" si="17"/>
        <v>0.284042297459382</v>
      </c>
      <c r="AJ136" s="4">
        <f t="shared" si="17"/>
        <v>0.254907408174699</v>
      </c>
    </row>
    <row r="137" spans="1:36">
      <c r="A137" t="str">
        <f>"semis_procurement_archetype_"&amp;TEXT(ROUND(Table26916[[#This Row],[2016]],3),"0.0")</f>
        <v>semis_procurement_archetype_6.8</v>
      </c>
      <c r="B137" s="4">
        <f t="shared" si="24"/>
        <v>6.8</v>
      </c>
      <c r="C137" s="4">
        <f t="shared" si="23"/>
        <v>6.8</v>
      </c>
      <c r="D137" s="4">
        <f t="shared" si="23"/>
        <v>6.8</v>
      </c>
      <c r="E137" s="4">
        <f t="shared" si="23"/>
        <v>6.64136344135958</v>
      </c>
      <c r="F137" s="4">
        <f t="shared" si="23"/>
        <v>6.25785030896484</v>
      </c>
      <c r="G137" s="4">
        <f t="shared" si="23"/>
        <v>6.31146638231206</v>
      </c>
      <c r="H137" s="4">
        <f t="shared" si="23"/>
        <v>6.14499865127938</v>
      </c>
      <c r="I137" s="4">
        <f t="shared" si="23"/>
        <v>5.82297832388535</v>
      </c>
      <c r="J137" s="4">
        <f t="shared" si="23"/>
        <v>5.64208346432329</v>
      </c>
      <c r="K137" s="4">
        <f t="shared" si="23"/>
        <v>5.45639106667169</v>
      </c>
      <c r="L137" s="4">
        <f t="shared" si="23"/>
        <v>5.16306819227685</v>
      </c>
      <c r="M137" s="4">
        <f t="shared" si="23"/>
        <v>5.12746791358774</v>
      </c>
      <c r="N137" s="4">
        <f t="shared" si="23"/>
        <v>4.88712589630091</v>
      </c>
      <c r="O137" s="4">
        <f t="shared" si="23"/>
        <v>4.63791121012573</v>
      </c>
      <c r="P137" s="4">
        <f t="shared" si="23"/>
        <v>4.34328787196317</v>
      </c>
      <c r="Q137" s="4">
        <f t="shared" si="23"/>
        <v>3.76812718473751</v>
      </c>
      <c r="R137" s="4">
        <f t="shared" si="23"/>
        <v>2.99221715497871</v>
      </c>
      <c r="S137" s="4">
        <f t="shared" si="22"/>
        <v>2.74477791777639</v>
      </c>
      <c r="T137" s="4">
        <f t="shared" si="22"/>
        <v>2.20691466882661</v>
      </c>
      <c r="U137" s="4">
        <f t="shared" si="22"/>
        <v>1.66487281256088</v>
      </c>
      <c r="V137" s="4">
        <f t="shared" si="22"/>
        <v>1.56040655483377</v>
      </c>
      <c r="W137" s="4">
        <f t="shared" si="22"/>
        <v>1.24519703781951</v>
      </c>
      <c r="X137" s="4">
        <f t="shared" si="22"/>
        <v>1.08524601342405</v>
      </c>
      <c r="Y137" s="4">
        <f t="shared" si="22"/>
        <v>0.91887012536015</v>
      </c>
      <c r="Z137" s="4">
        <f t="shared" si="22"/>
        <v>0.892872090239839</v>
      </c>
      <c r="AA137" s="4">
        <f t="shared" si="22"/>
        <v>0.81219570308297</v>
      </c>
      <c r="AB137" s="4">
        <f t="shared" si="22"/>
        <v>0.694391039998049</v>
      </c>
      <c r="AC137" s="4">
        <f t="shared" si="22"/>
        <v>0.597905385456731</v>
      </c>
      <c r="AD137" s="4">
        <f t="shared" si="22"/>
        <v>0.581947436493539</v>
      </c>
      <c r="AE137" s="4">
        <f t="shared" si="22"/>
        <v>0.516869030749995</v>
      </c>
      <c r="AF137" s="4">
        <f t="shared" si="22"/>
        <v>0.478914048891581</v>
      </c>
      <c r="AG137" s="4">
        <f t="shared" si="22"/>
        <v>0.450450530669578</v>
      </c>
      <c r="AH137" s="4">
        <f t="shared" si="17"/>
        <v>0.343791105921179</v>
      </c>
      <c r="AI137" s="4">
        <f t="shared" si="17"/>
        <v>0.283603855272429</v>
      </c>
      <c r="AJ137" s="4">
        <f t="shared" si="17"/>
        <v>0.254907408174699</v>
      </c>
    </row>
    <row r="138" spans="1:36">
      <c r="A138" t="str">
        <f>"semis_procurement_archetype_"&amp;TEXT(ROUND(Table26916[[#This Row],[2016]],3),"0.0")</f>
        <v>semis_procurement_archetype_6.7</v>
      </c>
      <c r="B138" s="4">
        <f t="shared" si="24"/>
        <v>6.7</v>
      </c>
      <c r="C138" s="4">
        <f t="shared" si="23"/>
        <v>6.7</v>
      </c>
      <c r="D138" s="4">
        <f t="shared" si="23"/>
        <v>6.7</v>
      </c>
      <c r="E138" s="4">
        <f t="shared" si="23"/>
        <v>6.54378718947948</v>
      </c>
      <c r="F138" s="4">
        <f t="shared" si="23"/>
        <v>6.16613360952062</v>
      </c>
      <c r="G138" s="4">
        <f t="shared" si="23"/>
        <v>6.21893050311454</v>
      </c>
      <c r="H138" s="4">
        <f t="shared" si="23"/>
        <v>6.05500616972975</v>
      </c>
      <c r="I138" s="4">
        <f t="shared" si="23"/>
        <v>5.73790586940754</v>
      </c>
      <c r="J138" s="4">
        <f t="shared" si="23"/>
        <v>5.55977483414627</v>
      </c>
      <c r="K138" s="4">
        <f t="shared" si="23"/>
        <v>5.37691956056964</v>
      </c>
      <c r="L138" s="4">
        <f t="shared" si="23"/>
        <v>5.08807825569089</v>
      </c>
      <c r="M138" s="4">
        <f t="shared" si="23"/>
        <v>5.05302190022654</v>
      </c>
      <c r="N138" s="4">
        <f t="shared" si="23"/>
        <v>4.81635197793172</v>
      </c>
      <c r="O138" s="4">
        <f t="shared" si="23"/>
        <v>4.57094494890851</v>
      </c>
      <c r="P138" s="4">
        <f t="shared" si="23"/>
        <v>4.28082304955722</v>
      </c>
      <c r="Q138" s="4">
        <f t="shared" si="23"/>
        <v>3.71445002544184</v>
      </c>
      <c r="R138" s="4">
        <f t="shared" si="23"/>
        <v>2.95039483224758</v>
      </c>
      <c r="S138" s="4">
        <f t="shared" si="22"/>
        <v>2.70673612578232</v>
      </c>
      <c r="T138" s="4">
        <f t="shared" si="22"/>
        <v>2.17709068645713</v>
      </c>
      <c r="U138" s="4">
        <f t="shared" si="22"/>
        <v>1.64333048318043</v>
      </c>
      <c r="V138" s="4">
        <f t="shared" si="22"/>
        <v>1.54046032598607</v>
      </c>
      <c r="W138" s="4">
        <f t="shared" si="22"/>
        <v>1.23006677624182</v>
      </c>
      <c r="X138" s="4">
        <f t="shared" si="22"/>
        <v>1.07255958319254</v>
      </c>
      <c r="Y138" s="4">
        <f t="shared" si="22"/>
        <v>0.90872568954247</v>
      </c>
      <c r="Z138" s="4">
        <f t="shared" si="22"/>
        <v>0.883124868590722</v>
      </c>
      <c r="AA138" s="4">
        <f t="shared" si="22"/>
        <v>0.803681105510977</v>
      </c>
      <c r="AB138" s="4">
        <f t="shared" si="22"/>
        <v>0.687676335421183</v>
      </c>
      <c r="AC138" s="4">
        <f t="shared" si="22"/>
        <v>0.592664848787924</v>
      </c>
      <c r="AD138" s="4">
        <f t="shared" si="22"/>
        <v>0.576950715305403</v>
      </c>
      <c r="AE138" s="4">
        <f t="shared" si="22"/>
        <v>0.512866617966676</v>
      </c>
      <c r="AF138" s="4">
        <f t="shared" si="22"/>
        <v>0.475491535954229</v>
      </c>
      <c r="AG138" s="4">
        <f t="shared" si="22"/>
        <v>0.44746290108678</v>
      </c>
      <c r="AH138" s="4">
        <f t="shared" si="17"/>
        <v>0.342433085442485</v>
      </c>
      <c r="AI138" s="4">
        <f t="shared" si="17"/>
        <v>0.283165413085475</v>
      </c>
      <c r="AJ138" s="4">
        <f t="shared" si="17"/>
        <v>0.254907408174699</v>
      </c>
    </row>
    <row r="139" spans="1:36">
      <c r="A139" t="str">
        <f>"semis_procurement_archetype_"&amp;TEXT(ROUND(Table26916[[#This Row],[2016]],3),"0.0")</f>
        <v>semis_procurement_archetype_6.6</v>
      </c>
      <c r="B139" s="4">
        <f t="shared" si="24"/>
        <v>6.6</v>
      </c>
      <c r="C139" s="4">
        <f t="shared" si="23"/>
        <v>6.6</v>
      </c>
      <c r="D139" s="4">
        <f t="shared" si="23"/>
        <v>6.6</v>
      </c>
      <c r="E139" s="4">
        <f t="shared" si="23"/>
        <v>6.44621093759939</v>
      </c>
      <c r="F139" s="4">
        <f t="shared" si="23"/>
        <v>6.0744169100764</v>
      </c>
      <c r="G139" s="4">
        <f t="shared" si="23"/>
        <v>6.12639462391702</v>
      </c>
      <c r="H139" s="4">
        <f t="shared" si="23"/>
        <v>5.96501368818012</v>
      </c>
      <c r="I139" s="4">
        <f t="shared" si="23"/>
        <v>5.65283341492974</v>
      </c>
      <c r="J139" s="4">
        <f t="shared" si="23"/>
        <v>5.47746620396926</v>
      </c>
      <c r="K139" s="4">
        <f t="shared" si="23"/>
        <v>5.2974480544676</v>
      </c>
      <c r="L139" s="4">
        <f t="shared" si="23"/>
        <v>5.01308831910493</v>
      </c>
      <c r="M139" s="4">
        <f t="shared" si="23"/>
        <v>4.97857588686534</v>
      </c>
      <c r="N139" s="4">
        <f t="shared" si="23"/>
        <v>4.74557805956253</v>
      </c>
      <c r="O139" s="4">
        <f t="shared" si="23"/>
        <v>4.50397868769128</v>
      </c>
      <c r="P139" s="4">
        <f t="shared" si="23"/>
        <v>4.21835822715127</v>
      </c>
      <c r="Q139" s="4">
        <f t="shared" si="23"/>
        <v>3.66077286614618</v>
      </c>
      <c r="R139" s="4">
        <f t="shared" si="23"/>
        <v>2.90857250951646</v>
      </c>
      <c r="S139" s="4">
        <f t="shared" si="22"/>
        <v>2.66869433378824</v>
      </c>
      <c r="T139" s="4">
        <f t="shared" si="22"/>
        <v>2.14726670408766</v>
      </c>
      <c r="U139" s="4">
        <f t="shared" si="22"/>
        <v>1.62178815379999</v>
      </c>
      <c r="V139" s="4">
        <f t="shared" si="22"/>
        <v>1.52051409713838</v>
      </c>
      <c r="W139" s="4">
        <f t="shared" si="22"/>
        <v>1.21493651466414</v>
      </c>
      <c r="X139" s="4">
        <f t="shared" si="22"/>
        <v>1.05987315296104</v>
      </c>
      <c r="Y139" s="4">
        <f t="shared" si="22"/>
        <v>0.89858125372479</v>
      </c>
      <c r="Z139" s="4">
        <f t="shared" si="22"/>
        <v>0.873377646941605</v>
      </c>
      <c r="AA139" s="4">
        <f t="shared" si="22"/>
        <v>0.795166507938984</v>
      </c>
      <c r="AB139" s="4">
        <f t="shared" si="22"/>
        <v>0.680961630844318</v>
      </c>
      <c r="AC139" s="4">
        <f t="shared" si="22"/>
        <v>0.587424312119116</v>
      </c>
      <c r="AD139" s="4">
        <f t="shared" si="22"/>
        <v>0.571953994117267</v>
      </c>
      <c r="AE139" s="4">
        <f t="shared" si="22"/>
        <v>0.508864205183357</v>
      </c>
      <c r="AF139" s="4">
        <f t="shared" si="22"/>
        <v>0.472069023016878</v>
      </c>
      <c r="AG139" s="4">
        <f t="shared" si="22"/>
        <v>0.444475271503983</v>
      </c>
      <c r="AH139" s="4">
        <f t="shared" si="17"/>
        <v>0.341075064963791</v>
      </c>
      <c r="AI139" s="4">
        <f t="shared" si="17"/>
        <v>0.282726970898522</v>
      </c>
      <c r="AJ139" s="4">
        <f t="shared" si="17"/>
        <v>0.254907408174699</v>
      </c>
    </row>
    <row r="140" spans="1:36">
      <c r="A140" t="str">
        <f>"semis_procurement_archetype_"&amp;TEXT(ROUND(Table26916[[#This Row],[2016]],3),"0.0")</f>
        <v>semis_procurement_archetype_6.5</v>
      </c>
      <c r="B140" s="4">
        <f t="shared" si="24"/>
        <v>6.5</v>
      </c>
      <c r="C140" s="4">
        <f t="shared" si="23"/>
        <v>6.5</v>
      </c>
      <c r="D140" s="4">
        <f t="shared" si="23"/>
        <v>6.5</v>
      </c>
      <c r="E140" s="4">
        <f t="shared" si="23"/>
        <v>6.34863468571929</v>
      </c>
      <c r="F140" s="4">
        <f t="shared" si="23"/>
        <v>5.98270021063218</v>
      </c>
      <c r="G140" s="4">
        <f t="shared" si="23"/>
        <v>6.0338587447195</v>
      </c>
      <c r="H140" s="4">
        <f t="shared" si="23"/>
        <v>5.87502120663048</v>
      </c>
      <c r="I140" s="4">
        <f t="shared" si="23"/>
        <v>5.56776096045194</v>
      </c>
      <c r="J140" s="4">
        <f t="shared" si="23"/>
        <v>5.39515757379225</v>
      </c>
      <c r="K140" s="4">
        <f t="shared" si="23"/>
        <v>5.21797654836555</v>
      </c>
      <c r="L140" s="4">
        <f t="shared" si="23"/>
        <v>4.93809838251897</v>
      </c>
      <c r="M140" s="4">
        <f t="shared" si="23"/>
        <v>4.90412987350414</v>
      </c>
      <c r="N140" s="4">
        <f t="shared" si="23"/>
        <v>4.67480414119334</v>
      </c>
      <c r="O140" s="4">
        <f t="shared" si="23"/>
        <v>4.43701242647405</v>
      </c>
      <c r="P140" s="4">
        <f t="shared" si="23"/>
        <v>4.15589340474533</v>
      </c>
      <c r="Q140" s="4">
        <f t="shared" si="23"/>
        <v>3.60709570685051</v>
      </c>
      <c r="R140" s="4">
        <f t="shared" ref="R140:AG155" si="25">(($B140-$AJ$2)*((R$2-$AJ$2)/($B$2-$AJ$2)))+$AJ$2</f>
        <v>2.86675018678534</v>
      </c>
      <c r="S140" s="4">
        <f t="shared" si="25"/>
        <v>2.63065254179417</v>
      </c>
      <c r="T140" s="4">
        <f t="shared" si="25"/>
        <v>2.11744272171818</v>
      </c>
      <c r="U140" s="4">
        <f t="shared" si="25"/>
        <v>1.60024582441954</v>
      </c>
      <c r="V140" s="4">
        <f t="shared" si="25"/>
        <v>1.50056786829068</v>
      </c>
      <c r="W140" s="4">
        <f t="shared" si="25"/>
        <v>1.19980625308645</v>
      </c>
      <c r="X140" s="4">
        <f t="shared" si="25"/>
        <v>1.04718672272953</v>
      </c>
      <c r="Y140" s="4">
        <f t="shared" si="25"/>
        <v>0.88843681790711</v>
      </c>
      <c r="Z140" s="4">
        <f t="shared" si="25"/>
        <v>0.863630425292488</v>
      </c>
      <c r="AA140" s="4">
        <f t="shared" si="25"/>
        <v>0.78665191036699</v>
      </c>
      <c r="AB140" s="4">
        <f t="shared" si="25"/>
        <v>0.674246926267453</v>
      </c>
      <c r="AC140" s="4">
        <f t="shared" si="25"/>
        <v>0.582183775450308</v>
      </c>
      <c r="AD140" s="4">
        <f t="shared" si="25"/>
        <v>0.566957272929131</v>
      </c>
      <c r="AE140" s="4">
        <f t="shared" si="25"/>
        <v>0.504861792400038</v>
      </c>
      <c r="AF140" s="4">
        <f t="shared" si="25"/>
        <v>0.468646510079526</v>
      </c>
      <c r="AG140" s="4">
        <f t="shared" si="25"/>
        <v>0.441487641921185</v>
      </c>
      <c r="AH140" s="4">
        <f t="shared" si="17"/>
        <v>0.339717044485096</v>
      </c>
      <c r="AI140" s="4">
        <f t="shared" si="17"/>
        <v>0.282288528711568</v>
      </c>
      <c r="AJ140" s="4">
        <f t="shared" si="17"/>
        <v>0.254907408174699</v>
      </c>
    </row>
    <row r="141" spans="1:36">
      <c r="A141" t="str">
        <f>"semis_procurement_archetype_"&amp;TEXT(ROUND(Table26916[[#This Row],[2016]],3),"0.0")</f>
        <v>semis_procurement_archetype_6.4</v>
      </c>
      <c r="B141" s="4">
        <f t="shared" si="24"/>
        <v>6.4</v>
      </c>
      <c r="C141" s="4">
        <f t="shared" ref="C141:R156" si="26">(($B141-$AJ$2)*((C$2-$AJ$2)/($B$2-$AJ$2)))+$AJ$2</f>
        <v>6.4</v>
      </c>
      <c r="D141" s="4">
        <f t="shared" si="26"/>
        <v>6.4</v>
      </c>
      <c r="E141" s="4">
        <f t="shared" si="26"/>
        <v>6.2510584338392</v>
      </c>
      <c r="F141" s="4">
        <f t="shared" si="26"/>
        <v>5.89098351118797</v>
      </c>
      <c r="G141" s="4">
        <f t="shared" si="26"/>
        <v>5.94132286552198</v>
      </c>
      <c r="H141" s="4">
        <f t="shared" si="26"/>
        <v>5.78502872508085</v>
      </c>
      <c r="I141" s="4">
        <f t="shared" si="26"/>
        <v>5.48268850597413</v>
      </c>
      <c r="J141" s="4">
        <f t="shared" si="26"/>
        <v>5.31284894361523</v>
      </c>
      <c r="K141" s="4">
        <f t="shared" si="26"/>
        <v>5.13850504226351</v>
      </c>
      <c r="L141" s="4">
        <f t="shared" si="26"/>
        <v>4.86310844593301</v>
      </c>
      <c r="M141" s="4">
        <f t="shared" si="26"/>
        <v>4.82968386014295</v>
      </c>
      <c r="N141" s="4">
        <f t="shared" si="26"/>
        <v>4.60403022282416</v>
      </c>
      <c r="O141" s="4">
        <f t="shared" si="26"/>
        <v>4.37004616525683</v>
      </c>
      <c r="P141" s="4">
        <f t="shared" si="26"/>
        <v>4.09342858233938</v>
      </c>
      <c r="Q141" s="4">
        <f t="shared" si="26"/>
        <v>3.55341854755485</v>
      </c>
      <c r="R141" s="4">
        <f t="shared" si="26"/>
        <v>2.82492786405421</v>
      </c>
      <c r="S141" s="4">
        <f t="shared" si="25"/>
        <v>2.5926107498001</v>
      </c>
      <c r="T141" s="4">
        <f t="shared" si="25"/>
        <v>2.0876187393487</v>
      </c>
      <c r="U141" s="4">
        <f t="shared" si="25"/>
        <v>1.5787034950391</v>
      </c>
      <c r="V141" s="4">
        <f t="shared" si="25"/>
        <v>1.48062163944299</v>
      </c>
      <c r="W141" s="4">
        <f t="shared" si="25"/>
        <v>1.18467599150877</v>
      </c>
      <c r="X141" s="4">
        <f t="shared" si="25"/>
        <v>1.03450029249803</v>
      </c>
      <c r="Y141" s="4">
        <f t="shared" si="25"/>
        <v>0.87829238208943</v>
      </c>
      <c r="Z141" s="4">
        <f t="shared" si="25"/>
        <v>0.853883203643371</v>
      </c>
      <c r="AA141" s="4">
        <f t="shared" si="25"/>
        <v>0.778137312794997</v>
      </c>
      <c r="AB141" s="4">
        <f t="shared" si="25"/>
        <v>0.667532221690588</v>
      </c>
      <c r="AC141" s="4">
        <f t="shared" si="25"/>
        <v>0.5769432387815</v>
      </c>
      <c r="AD141" s="4">
        <f t="shared" si="25"/>
        <v>0.561960551740995</v>
      </c>
      <c r="AE141" s="4">
        <f t="shared" si="25"/>
        <v>0.500859379616718</v>
      </c>
      <c r="AF141" s="4">
        <f t="shared" si="25"/>
        <v>0.465223997142174</v>
      </c>
      <c r="AG141" s="4">
        <f t="shared" si="25"/>
        <v>0.438500012338387</v>
      </c>
      <c r="AH141" s="4">
        <f t="shared" si="17"/>
        <v>0.338359024006402</v>
      </c>
      <c r="AI141" s="4">
        <f t="shared" si="17"/>
        <v>0.281850086524615</v>
      </c>
      <c r="AJ141" s="4">
        <f t="shared" si="17"/>
        <v>0.254907408174699</v>
      </c>
    </row>
    <row r="142" spans="1:36">
      <c r="A142" t="str">
        <f>"semis_procurement_archetype_"&amp;TEXT(ROUND(Table26916[[#This Row],[2016]],3),"0.0")</f>
        <v>semis_procurement_archetype_6.3</v>
      </c>
      <c r="B142" s="4">
        <f t="shared" si="24"/>
        <v>6.3</v>
      </c>
      <c r="C142" s="4">
        <f t="shared" si="26"/>
        <v>6.3</v>
      </c>
      <c r="D142" s="4">
        <f t="shared" si="26"/>
        <v>6.3</v>
      </c>
      <c r="E142" s="4">
        <f t="shared" si="26"/>
        <v>6.1534821819591</v>
      </c>
      <c r="F142" s="4">
        <f t="shared" si="26"/>
        <v>5.79926681174375</v>
      </c>
      <c r="G142" s="4">
        <f t="shared" si="26"/>
        <v>5.84878698632446</v>
      </c>
      <c r="H142" s="4">
        <f t="shared" si="26"/>
        <v>5.69503624353122</v>
      </c>
      <c r="I142" s="4">
        <f t="shared" si="26"/>
        <v>5.39761605149633</v>
      </c>
      <c r="J142" s="4">
        <f t="shared" si="26"/>
        <v>5.23054031343822</v>
      </c>
      <c r="K142" s="4">
        <f t="shared" si="26"/>
        <v>5.05903353616146</v>
      </c>
      <c r="L142" s="4">
        <f t="shared" si="26"/>
        <v>4.78811850934705</v>
      </c>
      <c r="M142" s="4">
        <f t="shared" si="26"/>
        <v>4.75523784678175</v>
      </c>
      <c r="N142" s="4">
        <f t="shared" si="26"/>
        <v>4.53325630445497</v>
      </c>
      <c r="O142" s="4">
        <f t="shared" si="26"/>
        <v>4.3030799040396</v>
      </c>
      <c r="P142" s="4">
        <f t="shared" si="26"/>
        <v>4.03096375993343</v>
      </c>
      <c r="Q142" s="4">
        <f t="shared" si="26"/>
        <v>3.49974138825919</v>
      </c>
      <c r="R142" s="4">
        <f t="shared" si="26"/>
        <v>2.78310554132309</v>
      </c>
      <c r="S142" s="4">
        <f t="shared" si="25"/>
        <v>2.55456895780602</v>
      </c>
      <c r="T142" s="4">
        <f t="shared" si="25"/>
        <v>2.05779475697923</v>
      </c>
      <c r="U142" s="4">
        <f t="shared" si="25"/>
        <v>1.55716116565865</v>
      </c>
      <c r="V142" s="4">
        <f t="shared" si="25"/>
        <v>1.46067541059529</v>
      </c>
      <c r="W142" s="4">
        <f t="shared" si="25"/>
        <v>1.16954572993108</v>
      </c>
      <c r="X142" s="4">
        <f t="shared" si="25"/>
        <v>1.02181386226652</v>
      </c>
      <c r="Y142" s="4">
        <f t="shared" si="25"/>
        <v>0.86814794627175</v>
      </c>
      <c r="Z142" s="4">
        <f t="shared" si="25"/>
        <v>0.844135981994255</v>
      </c>
      <c r="AA142" s="4">
        <f t="shared" si="25"/>
        <v>0.769622715223004</v>
      </c>
      <c r="AB142" s="4">
        <f t="shared" si="25"/>
        <v>0.660817517113723</v>
      </c>
      <c r="AC142" s="4">
        <f t="shared" si="25"/>
        <v>0.571702702112692</v>
      </c>
      <c r="AD142" s="4">
        <f t="shared" si="25"/>
        <v>0.55696383055286</v>
      </c>
      <c r="AE142" s="4">
        <f t="shared" si="25"/>
        <v>0.496856966833399</v>
      </c>
      <c r="AF142" s="4">
        <f t="shared" si="25"/>
        <v>0.461801484204822</v>
      </c>
      <c r="AG142" s="4">
        <f t="shared" si="25"/>
        <v>0.435512382755589</v>
      </c>
      <c r="AH142" s="4">
        <f t="shared" si="17"/>
        <v>0.337001003527708</v>
      </c>
      <c r="AI142" s="4">
        <f t="shared" si="17"/>
        <v>0.281411644337661</v>
      </c>
      <c r="AJ142" s="4">
        <f t="shared" si="17"/>
        <v>0.254907408174699</v>
      </c>
    </row>
    <row r="143" spans="1:36">
      <c r="A143" t="str">
        <f>"semis_procurement_archetype_"&amp;TEXT(ROUND(Table26916[[#This Row],[2016]],3),"0.0")</f>
        <v>semis_procurement_archetype_6.2</v>
      </c>
      <c r="B143" s="4">
        <f t="shared" si="24"/>
        <v>6.2</v>
      </c>
      <c r="C143" s="4">
        <f t="shared" si="26"/>
        <v>6.2</v>
      </c>
      <c r="D143" s="4">
        <f t="shared" si="26"/>
        <v>6.2</v>
      </c>
      <c r="E143" s="4">
        <f t="shared" si="26"/>
        <v>6.05590593007901</v>
      </c>
      <c r="F143" s="4">
        <f t="shared" si="26"/>
        <v>5.70755011229953</v>
      </c>
      <c r="G143" s="4">
        <f t="shared" si="26"/>
        <v>5.75625110712694</v>
      </c>
      <c r="H143" s="4">
        <f t="shared" si="26"/>
        <v>5.60504376198159</v>
      </c>
      <c r="I143" s="4">
        <f t="shared" si="26"/>
        <v>5.31254359701853</v>
      </c>
      <c r="J143" s="4">
        <f t="shared" si="26"/>
        <v>5.14823168326121</v>
      </c>
      <c r="K143" s="4">
        <f t="shared" si="26"/>
        <v>4.97956203005941</v>
      </c>
      <c r="L143" s="4">
        <f t="shared" si="26"/>
        <v>4.71312857276109</v>
      </c>
      <c r="M143" s="4">
        <f t="shared" si="26"/>
        <v>4.68079183342055</v>
      </c>
      <c r="N143" s="4">
        <f t="shared" si="26"/>
        <v>4.46248238608578</v>
      </c>
      <c r="O143" s="4">
        <f t="shared" si="26"/>
        <v>4.23611364282238</v>
      </c>
      <c r="P143" s="4">
        <f t="shared" si="26"/>
        <v>3.96849893752748</v>
      </c>
      <c r="Q143" s="4">
        <f t="shared" si="26"/>
        <v>3.44606422896352</v>
      </c>
      <c r="R143" s="4">
        <f t="shared" si="26"/>
        <v>2.74128321859197</v>
      </c>
      <c r="S143" s="4">
        <f t="shared" si="25"/>
        <v>2.51652716581195</v>
      </c>
      <c r="T143" s="4">
        <f t="shared" si="25"/>
        <v>2.02797077460975</v>
      </c>
      <c r="U143" s="4">
        <f t="shared" si="25"/>
        <v>1.5356188362782</v>
      </c>
      <c r="V143" s="4">
        <f t="shared" si="25"/>
        <v>1.44072918174759</v>
      </c>
      <c r="W143" s="4">
        <f t="shared" si="25"/>
        <v>1.1544154683534</v>
      </c>
      <c r="X143" s="4">
        <f t="shared" si="25"/>
        <v>1.00912743203501</v>
      </c>
      <c r="Y143" s="4">
        <f t="shared" si="25"/>
        <v>0.85800351045407</v>
      </c>
      <c r="Z143" s="4">
        <f t="shared" si="25"/>
        <v>0.834388760345138</v>
      </c>
      <c r="AA143" s="4">
        <f t="shared" si="25"/>
        <v>0.76110811765101</v>
      </c>
      <c r="AB143" s="4">
        <f t="shared" si="25"/>
        <v>0.654102812536858</v>
      </c>
      <c r="AC143" s="4">
        <f t="shared" si="25"/>
        <v>0.566462165443884</v>
      </c>
      <c r="AD143" s="4">
        <f t="shared" si="25"/>
        <v>0.551967109364724</v>
      </c>
      <c r="AE143" s="4">
        <f t="shared" si="25"/>
        <v>0.49285455405008</v>
      </c>
      <c r="AF143" s="4">
        <f t="shared" si="25"/>
        <v>0.45837897126747</v>
      </c>
      <c r="AG143" s="4">
        <f t="shared" si="25"/>
        <v>0.432524753172791</v>
      </c>
      <c r="AH143" s="4">
        <f t="shared" si="17"/>
        <v>0.335642983049014</v>
      </c>
      <c r="AI143" s="4">
        <f t="shared" si="17"/>
        <v>0.280973202150708</v>
      </c>
      <c r="AJ143" s="4">
        <f t="shared" si="17"/>
        <v>0.254907408174699</v>
      </c>
    </row>
    <row r="144" spans="1:36">
      <c r="A144" t="str">
        <f>"semis_procurement_archetype_"&amp;TEXT(ROUND(Table26916[[#This Row],[2016]],3),"0.0")</f>
        <v>semis_procurement_archetype_6.1</v>
      </c>
      <c r="B144" s="4">
        <f t="shared" si="24"/>
        <v>6.1</v>
      </c>
      <c r="C144" s="4">
        <f t="shared" si="26"/>
        <v>6.1</v>
      </c>
      <c r="D144" s="4">
        <f t="shared" si="26"/>
        <v>6.1</v>
      </c>
      <c r="E144" s="4">
        <f t="shared" si="26"/>
        <v>5.95832967819891</v>
      </c>
      <c r="F144" s="4">
        <f t="shared" si="26"/>
        <v>5.61583341285532</v>
      </c>
      <c r="G144" s="4">
        <f t="shared" si="26"/>
        <v>5.66371522792942</v>
      </c>
      <c r="H144" s="4">
        <f t="shared" si="26"/>
        <v>5.51505128043196</v>
      </c>
      <c r="I144" s="4">
        <f t="shared" si="26"/>
        <v>5.22747114254072</v>
      </c>
      <c r="J144" s="4">
        <f t="shared" si="26"/>
        <v>5.06592305308419</v>
      </c>
      <c r="K144" s="4">
        <f t="shared" si="26"/>
        <v>4.90009052395737</v>
      </c>
      <c r="L144" s="4">
        <f t="shared" si="26"/>
        <v>4.63813863617513</v>
      </c>
      <c r="M144" s="4">
        <f t="shared" si="26"/>
        <v>4.60634582005935</v>
      </c>
      <c r="N144" s="4">
        <f t="shared" si="26"/>
        <v>4.39170846771659</v>
      </c>
      <c r="O144" s="4">
        <f t="shared" si="26"/>
        <v>4.16914738160515</v>
      </c>
      <c r="P144" s="4">
        <f t="shared" si="26"/>
        <v>3.90603411512154</v>
      </c>
      <c r="Q144" s="4">
        <f t="shared" si="26"/>
        <v>3.39238706966786</v>
      </c>
      <c r="R144" s="4">
        <f t="shared" si="26"/>
        <v>2.69946089586084</v>
      </c>
      <c r="S144" s="4">
        <f t="shared" si="25"/>
        <v>2.47848537381788</v>
      </c>
      <c r="T144" s="4">
        <f t="shared" si="25"/>
        <v>1.99814679224027</v>
      </c>
      <c r="U144" s="4">
        <f t="shared" si="25"/>
        <v>1.51407650689776</v>
      </c>
      <c r="V144" s="4">
        <f t="shared" si="25"/>
        <v>1.4207829528999</v>
      </c>
      <c r="W144" s="4">
        <f t="shared" si="25"/>
        <v>1.13928520677572</v>
      </c>
      <c r="X144" s="4">
        <f t="shared" si="25"/>
        <v>0.996441001803509</v>
      </c>
      <c r="Y144" s="4">
        <f t="shared" si="25"/>
        <v>0.84785907463639</v>
      </c>
      <c r="Z144" s="4">
        <f t="shared" si="25"/>
        <v>0.824641538696021</v>
      </c>
      <c r="AA144" s="4">
        <f t="shared" si="25"/>
        <v>0.752593520079017</v>
      </c>
      <c r="AB144" s="4">
        <f t="shared" si="25"/>
        <v>0.647388107959993</v>
      </c>
      <c r="AC144" s="4">
        <f t="shared" si="25"/>
        <v>0.561221628775076</v>
      </c>
      <c r="AD144" s="4">
        <f t="shared" si="25"/>
        <v>0.546970388176588</v>
      </c>
      <c r="AE144" s="4">
        <f t="shared" si="25"/>
        <v>0.488852141266761</v>
      </c>
      <c r="AF144" s="4">
        <f t="shared" si="25"/>
        <v>0.454956458330118</v>
      </c>
      <c r="AG144" s="4">
        <f t="shared" si="25"/>
        <v>0.429537123589994</v>
      </c>
      <c r="AH144" s="4">
        <f t="shared" si="17"/>
        <v>0.33428496257032</v>
      </c>
      <c r="AI144" s="4">
        <f t="shared" si="17"/>
        <v>0.280534759963754</v>
      </c>
      <c r="AJ144" s="4">
        <f t="shared" si="17"/>
        <v>0.254907408174699</v>
      </c>
    </row>
    <row r="145" spans="1:36">
      <c r="A145" t="str">
        <f>"semis_procurement_archetype_"&amp;TEXT(ROUND(Table26916[[#This Row],[2016]],3),"0.0")</f>
        <v>semis_procurement_archetype_6.0</v>
      </c>
      <c r="B145" s="4">
        <f t="shared" si="24"/>
        <v>6</v>
      </c>
      <c r="C145" s="4">
        <f t="shared" si="26"/>
        <v>6</v>
      </c>
      <c r="D145" s="4">
        <f t="shared" si="26"/>
        <v>6</v>
      </c>
      <c r="E145" s="4">
        <f t="shared" si="26"/>
        <v>5.86075342631882</v>
      </c>
      <c r="F145" s="4">
        <f t="shared" si="26"/>
        <v>5.5241167134111</v>
      </c>
      <c r="G145" s="4">
        <f t="shared" si="26"/>
        <v>5.5711793487319</v>
      </c>
      <c r="H145" s="4">
        <f t="shared" si="26"/>
        <v>5.42505879888233</v>
      </c>
      <c r="I145" s="4">
        <f t="shared" si="26"/>
        <v>5.14239868806292</v>
      </c>
      <c r="J145" s="4">
        <f t="shared" si="26"/>
        <v>4.98361442290718</v>
      </c>
      <c r="K145" s="4">
        <f t="shared" si="26"/>
        <v>4.82061901785532</v>
      </c>
      <c r="L145" s="4">
        <f t="shared" si="26"/>
        <v>4.56314869958917</v>
      </c>
      <c r="M145" s="4">
        <f t="shared" si="26"/>
        <v>4.53189980669816</v>
      </c>
      <c r="N145" s="4">
        <f t="shared" si="26"/>
        <v>4.32093454934741</v>
      </c>
      <c r="O145" s="4">
        <f t="shared" si="26"/>
        <v>4.10218112038792</v>
      </c>
      <c r="P145" s="4">
        <f t="shared" si="26"/>
        <v>3.84356929271559</v>
      </c>
      <c r="Q145" s="4">
        <f t="shared" si="26"/>
        <v>3.33870991037219</v>
      </c>
      <c r="R145" s="4">
        <f t="shared" si="26"/>
        <v>2.65763857312972</v>
      </c>
      <c r="S145" s="4">
        <f t="shared" si="25"/>
        <v>2.4404435818238</v>
      </c>
      <c r="T145" s="4">
        <f t="shared" si="25"/>
        <v>1.96832280987079</v>
      </c>
      <c r="U145" s="4">
        <f t="shared" si="25"/>
        <v>1.49253417751731</v>
      </c>
      <c r="V145" s="4">
        <f t="shared" si="25"/>
        <v>1.4008367240522</v>
      </c>
      <c r="W145" s="4">
        <f t="shared" si="25"/>
        <v>1.12415494519803</v>
      </c>
      <c r="X145" s="4">
        <f t="shared" si="25"/>
        <v>0.983754571572003</v>
      </c>
      <c r="Y145" s="4">
        <f t="shared" si="25"/>
        <v>0.83771463881871</v>
      </c>
      <c r="Z145" s="4">
        <f t="shared" si="25"/>
        <v>0.814894317046904</v>
      </c>
      <c r="AA145" s="4">
        <f t="shared" si="25"/>
        <v>0.744078922507024</v>
      </c>
      <c r="AB145" s="4">
        <f t="shared" si="25"/>
        <v>0.640673403383128</v>
      </c>
      <c r="AC145" s="4">
        <f t="shared" si="25"/>
        <v>0.555981092106268</v>
      </c>
      <c r="AD145" s="4">
        <f t="shared" si="25"/>
        <v>0.541973666988452</v>
      </c>
      <c r="AE145" s="4">
        <f t="shared" si="25"/>
        <v>0.484849728483441</v>
      </c>
      <c r="AF145" s="4">
        <f t="shared" si="25"/>
        <v>0.451533945392766</v>
      </c>
      <c r="AG145" s="4">
        <f t="shared" si="25"/>
        <v>0.426549494007196</v>
      </c>
      <c r="AH145" s="4">
        <f t="shared" si="17"/>
        <v>0.332926942091626</v>
      </c>
      <c r="AI145" s="4">
        <f t="shared" si="17"/>
        <v>0.280096317776801</v>
      </c>
      <c r="AJ145" s="4">
        <f t="shared" si="17"/>
        <v>0.254907408174699</v>
      </c>
    </row>
    <row r="146" spans="1:36">
      <c r="A146" t="str">
        <f>"semis_procurement_archetype_"&amp;TEXT(ROUND(Table26916[[#This Row],[2016]],3),"0.0")</f>
        <v>semis_procurement_archetype_5.9</v>
      </c>
      <c r="B146" s="4">
        <f t="shared" si="24"/>
        <v>5.9</v>
      </c>
      <c r="C146" s="4">
        <f t="shared" si="26"/>
        <v>5.9</v>
      </c>
      <c r="D146" s="4">
        <f t="shared" si="26"/>
        <v>5.9</v>
      </c>
      <c r="E146" s="4">
        <f t="shared" si="26"/>
        <v>5.76317717443872</v>
      </c>
      <c r="F146" s="4">
        <f t="shared" si="26"/>
        <v>5.43240001396688</v>
      </c>
      <c r="G146" s="4">
        <f t="shared" si="26"/>
        <v>5.47864346953437</v>
      </c>
      <c r="H146" s="4">
        <f t="shared" si="26"/>
        <v>5.3350663173327</v>
      </c>
      <c r="I146" s="4">
        <f t="shared" si="26"/>
        <v>5.05732623358512</v>
      </c>
      <c r="J146" s="4">
        <f t="shared" si="26"/>
        <v>4.90130579273017</v>
      </c>
      <c r="K146" s="4">
        <f t="shared" si="26"/>
        <v>4.74114751175328</v>
      </c>
      <c r="L146" s="4">
        <f t="shared" si="26"/>
        <v>4.48815876300321</v>
      </c>
      <c r="M146" s="4">
        <f t="shared" si="26"/>
        <v>4.45745379333696</v>
      </c>
      <c r="N146" s="4">
        <f t="shared" si="26"/>
        <v>4.25016063097822</v>
      </c>
      <c r="O146" s="4">
        <f t="shared" si="26"/>
        <v>4.0352148591707</v>
      </c>
      <c r="P146" s="4">
        <f t="shared" si="26"/>
        <v>3.78110447030964</v>
      </c>
      <c r="Q146" s="4">
        <f t="shared" si="26"/>
        <v>3.28503275107653</v>
      </c>
      <c r="R146" s="4">
        <f t="shared" si="26"/>
        <v>2.6158162503986</v>
      </c>
      <c r="S146" s="4">
        <f t="shared" si="25"/>
        <v>2.40240178982973</v>
      </c>
      <c r="T146" s="4">
        <f t="shared" si="25"/>
        <v>1.93849882750132</v>
      </c>
      <c r="U146" s="4">
        <f t="shared" si="25"/>
        <v>1.47099184813687</v>
      </c>
      <c r="V146" s="4">
        <f t="shared" si="25"/>
        <v>1.38089049520451</v>
      </c>
      <c r="W146" s="4">
        <f t="shared" si="25"/>
        <v>1.10902468362035</v>
      </c>
      <c r="X146" s="4">
        <f t="shared" si="25"/>
        <v>0.971068141340498</v>
      </c>
      <c r="Y146" s="4">
        <f t="shared" si="25"/>
        <v>0.827570203001029</v>
      </c>
      <c r="Z146" s="4">
        <f t="shared" si="25"/>
        <v>0.805147095397787</v>
      </c>
      <c r="AA146" s="4">
        <f t="shared" si="25"/>
        <v>0.735564324935031</v>
      </c>
      <c r="AB146" s="4">
        <f t="shared" si="25"/>
        <v>0.633958698806263</v>
      </c>
      <c r="AC146" s="4">
        <f t="shared" si="25"/>
        <v>0.55074055543746</v>
      </c>
      <c r="AD146" s="4">
        <f t="shared" si="25"/>
        <v>0.536976945800317</v>
      </c>
      <c r="AE146" s="4">
        <f t="shared" si="25"/>
        <v>0.480847315700122</v>
      </c>
      <c r="AF146" s="4">
        <f t="shared" si="25"/>
        <v>0.448111432455414</v>
      </c>
      <c r="AG146" s="4">
        <f t="shared" si="25"/>
        <v>0.423561864424398</v>
      </c>
      <c r="AH146" s="4">
        <f t="shared" si="17"/>
        <v>0.331568921612932</v>
      </c>
      <c r="AI146" s="4">
        <f t="shared" si="17"/>
        <v>0.279657875589847</v>
      </c>
      <c r="AJ146" s="4">
        <f t="shared" si="17"/>
        <v>0.254907408174699</v>
      </c>
    </row>
    <row r="147" spans="1:36">
      <c r="A147" t="str">
        <f>"semis_procurement_archetype_"&amp;TEXT(ROUND(Table26916[[#This Row],[2016]],3),"0.0")</f>
        <v>semis_procurement_archetype_5.8</v>
      </c>
      <c r="B147" s="4">
        <f t="shared" si="24"/>
        <v>5.8</v>
      </c>
      <c r="C147" s="4">
        <f t="shared" si="26"/>
        <v>5.8</v>
      </c>
      <c r="D147" s="4">
        <f t="shared" si="26"/>
        <v>5.8</v>
      </c>
      <c r="E147" s="4">
        <f t="shared" si="26"/>
        <v>5.66560092255863</v>
      </c>
      <c r="F147" s="4">
        <f t="shared" si="26"/>
        <v>5.34068331452266</v>
      </c>
      <c r="G147" s="4">
        <f t="shared" si="26"/>
        <v>5.38610759033685</v>
      </c>
      <c r="H147" s="4">
        <f t="shared" si="26"/>
        <v>5.24507383578306</v>
      </c>
      <c r="I147" s="4">
        <f t="shared" si="26"/>
        <v>4.97225377910731</v>
      </c>
      <c r="J147" s="4">
        <f t="shared" si="26"/>
        <v>4.81899716255315</v>
      </c>
      <c r="K147" s="4">
        <f t="shared" si="26"/>
        <v>4.66167600565123</v>
      </c>
      <c r="L147" s="4">
        <f t="shared" si="26"/>
        <v>4.41316882641725</v>
      </c>
      <c r="M147" s="4">
        <f t="shared" si="26"/>
        <v>4.38300777997576</v>
      </c>
      <c r="N147" s="4">
        <f t="shared" si="26"/>
        <v>4.17938671260903</v>
      </c>
      <c r="O147" s="4">
        <f t="shared" si="26"/>
        <v>3.96824859795347</v>
      </c>
      <c r="P147" s="4">
        <f t="shared" si="26"/>
        <v>3.7186396479037</v>
      </c>
      <c r="Q147" s="4">
        <f t="shared" si="26"/>
        <v>3.23135559178086</v>
      </c>
      <c r="R147" s="4">
        <f t="shared" si="26"/>
        <v>2.57399392766747</v>
      </c>
      <c r="S147" s="4">
        <f t="shared" si="25"/>
        <v>2.36435999783566</v>
      </c>
      <c r="T147" s="4">
        <f t="shared" si="25"/>
        <v>1.90867484513184</v>
      </c>
      <c r="U147" s="4">
        <f t="shared" si="25"/>
        <v>1.44944951875642</v>
      </c>
      <c r="V147" s="4">
        <f t="shared" si="25"/>
        <v>1.36094426635681</v>
      </c>
      <c r="W147" s="4">
        <f t="shared" si="25"/>
        <v>1.09389442204266</v>
      </c>
      <c r="X147" s="4">
        <f t="shared" si="25"/>
        <v>0.958381711108993</v>
      </c>
      <c r="Y147" s="4">
        <f t="shared" si="25"/>
        <v>0.817425767183349</v>
      </c>
      <c r="Z147" s="4">
        <f t="shared" si="25"/>
        <v>0.79539987374867</v>
      </c>
      <c r="AA147" s="4">
        <f t="shared" si="25"/>
        <v>0.727049727363037</v>
      </c>
      <c r="AB147" s="4">
        <f t="shared" si="25"/>
        <v>0.627243994229398</v>
      </c>
      <c r="AC147" s="4">
        <f t="shared" si="25"/>
        <v>0.545500018768653</v>
      </c>
      <c r="AD147" s="4">
        <f t="shared" si="25"/>
        <v>0.531980224612181</v>
      </c>
      <c r="AE147" s="4">
        <f t="shared" si="25"/>
        <v>0.476844902916803</v>
      </c>
      <c r="AF147" s="4">
        <f t="shared" si="25"/>
        <v>0.444688919518062</v>
      </c>
      <c r="AG147" s="4">
        <f t="shared" si="25"/>
        <v>0.4205742348416</v>
      </c>
      <c r="AH147" s="4">
        <f t="shared" ref="AH147:AJ201" si="27">(($B147-$AJ$2)*((AH$2-$AJ$2)/($B$2-$AJ$2)))+$AJ$2</f>
        <v>0.330210901134238</v>
      </c>
      <c r="AI147" s="4">
        <f t="shared" si="27"/>
        <v>0.279219433402894</v>
      </c>
      <c r="AJ147" s="4">
        <f t="shared" si="27"/>
        <v>0.254907408174699</v>
      </c>
    </row>
    <row r="148" spans="1:36">
      <c r="A148" t="str">
        <f>"semis_procurement_archetype_"&amp;TEXT(ROUND(Table26916[[#This Row],[2016]],3),"0.0")</f>
        <v>semis_procurement_archetype_5.7</v>
      </c>
      <c r="B148" s="4">
        <f t="shared" si="24"/>
        <v>5.7</v>
      </c>
      <c r="C148" s="4">
        <f t="shared" si="26"/>
        <v>5.7</v>
      </c>
      <c r="D148" s="4">
        <f t="shared" si="26"/>
        <v>5.7</v>
      </c>
      <c r="E148" s="4">
        <f t="shared" si="26"/>
        <v>5.56802467067854</v>
      </c>
      <c r="F148" s="4">
        <f t="shared" si="26"/>
        <v>5.24896661507845</v>
      </c>
      <c r="G148" s="4">
        <f t="shared" si="26"/>
        <v>5.29357171113933</v>
      </c>
      <c r="H148" s="4">
        <f t="shared" si="26"/>
        <v>5.15508135423343</v>
      </c>
      <c r="I148" s="4">
        <f t="shared" si="26"/>
        <v>4.88718132462951</v>
      </c>
      <c r="J148" s="4">
        <f t="shared" si="26"/>
        <v>4.73668853237614</v>
      </c>
      <c r="K148" s="4">
        <f t="shared" si="26"/>
        <v>4.58220449954919</v>
      </c>
      <c r="L148" s="4">
        <f t="shared" si="26"/>
        <v>4.33817888983129</v>
      </c>
      <c r="M148" s="4">
        <f t="shared" si="26"/>
        <v>4.30856176661456</v>
      </c>
      <c r="N148" s="4">
        <f t="shared" si="26"/>
        <v>4.10861279423984</v>
      </c>
      <c r="O148" s="4">
        <f t="shared" si="26"/>
        <v>3.90128233673625</v>
      </c>
      <c r="P148" s="4">
        <f t="shared" si="26"/>
        <v>3.65617482549775</v>
      </c>
      <c r="Q148" s="4">
        <f t="shared" si="26"/>
        <v>3.1776784324852</v>
      </c>
      <c r="R148" s="4">
        <f t="shared" si="26"/>
        <v>2.53217160493635</v>
      </c>
      <c r="S148" s="4">
        <f t="shared" si="25"/>
        <v>2.32631820584158</v>
      </c>
      <c r="T148" s="4">
        <f t="shared" si="25"/>
        <v>1.87885086276236</v>
      </c>
      <c r="U148" s="4">
        <f t="shared" si="25"/>
        <v>1.42790718937597</v>
      </c>
      <c r="V148" s="4">
        <f t="shared" si="25"/>
        <v>1.34099803750911</v>
      </c>
      <c r="W148" s="4">
        <f t="shared" si="25"/>
        <v>1.07876416046498</v>
      </c>
      <c r="X148" s="4">
        <f t="shared" si="25"/>
        <v>0.945695280877487</v>
      </c>
      <c r="Y148" s="4">
        <f t="shared" si="25"/>
        <v>0.807281331365669</v>
      </c>
      <c r="Z148" s="4">
        <f t="shared" si="25"/>
        <v>0.785652652099553</v>
      </c>
      <c r="AA148" s="4">
        <f t="shared" si="25"/>
        <v>0.718535129791044</v>
      </c>
      <c r="AB148" s="4">
        <f t="shared" si="25"/>
        <v>0.620529289652533</v>
      </c>
      <c r="AC148" s="4">
        <f t="shared" si="25"/>
        <v>0.540259482099845</v>
      </c>
      <c r="AD148" s="4">
        <f t="shared" si="25"/>
        <v>0.526983503424045</v>
      </c>
      <c r="AE148" s="4">
        <f t="shared" si="25"/>
        <v>0.472842490133484</v>
      </c>
      <c r="AF148" s="4">
        <f t="shared" si="25"/>
        <v>0.44126640658071</v>
      </c>
      <c r="AG148" s="4">
        <f t="shared" si="25"/>
        <v>0.417586605258802</v>
      </c>
      <c r="AH148" s="4">
        <f t="shared" si="27"/>
        <v>0.328852880655543</v>
      </c>
      <c r="AI148" s="4">
        <f t="shared" si="27"/>
        <v>0.27878099121594</v>
      </c>
      <c r="AJ148" s="4">
        <f t="shared" si="27"/>
        <v>0.254907408174699</v>
      </c>
    </row>
    <row r="149" spans="1:36">
      <c r="A149" t="str">
        <f>"semis_procurement_archetype_"&amp;TEXT(ROUND(Table26916[[#This Row],[2016]],3),"0.0")</f>
        <v>semis_procurement_archetype_5.6</v>
      </c>
      <c r="B149" s="4">
        <f t="shared" si="24"/>
        <v>5.6</v>
      </c>
      <c r="C149" s="4">
        <f t="shared" si="26"/>
        <v>5.6</v>
      </c>
      <c r="D149" s="4">
        <f t="shared" si="26"/>
        <v>5.6</v>
      </c>
      <c r="E149" s="4">
        <f t="shared" si="26"/>
        <v>5.47044841879844</v>
      </c>
      <c r="F149" s="4">
        <f t="shared" si="26"/>
        <v>5.15724991563423</v>
      </c>
      <c r="G149" s="4">
        <f t="shared" si="26"/>
        <v>5.20103583194181</v>
      </c>
      <c r="H149" s="4">
        <f t="shared" si="26"/>
        <v>5.0650888726838</v>
      </c>
      <c r="I149" s="4">
        <f t="shared" si="26"/>
        <v>4.80210887015171</v>
      </c>
      <c r="J149" s="4">
        <f t="shared" si="26"/>
        <v>4.65437990219913</v>
      </c>
      <c r="K149" s="4">
        <f t="shared" si="26"/>
        <v>4.50273299344714</v>
      </c>
      <c r="L149" s="4">
        <f t="shared" si="26"/>
        <v>4.26318895324533</v>
      </c>
      <c r="M149" s="4">
        <f t="shared" si="26"/>
        <v>4.23411575325336</v>
      </c>
      <c r="N149" s="4">
        <f t="shared" si="26"/>
        <v>4.03783887587065</v>
      </c>
      <c r="O149" s="4">
        <f t="shared" si="26"/>
        <v>3.83431607551902</v>
      </c>
      <c r="P149" s="4">
        <f t="shared" si="26"/>
        <v>3.5937100030918</v>
      </c>
      <c r="Q149" s="4">
        <f t="shared" si="26"/>
        <v>3.12400127318953</v>
      </c>
      <c r="R149" s="4">
        <f t="shared" si="26"/>
        <v>2.49034928220523</v>
      </c>
      <c r="S149" s="4">
        <f t="shared" si="25"/>
        <v>2.28827641384751</v>
      </c>
      <c r="T149" s="4">
        <f t="shared" si="25"/>
        <v>1.84902688039289</v>
      </c>
      <c r="U149" s="4">
        <f t="shared" si="25"/>
        <v>1.40636485999553</v>
      </c>
      <c r="V149" s="4">
        <f t="shared" si="25"/>
        <v>1.32105180866142</v>
      </c>
      <c r="W149" s="4">
        <f t="shared" si="25"/>
        <v>1.06363389888729</v>
      </c>
      <c r="X149" s="4">
        <f t="shared" si="25"/>
        <v>0.933008850645982</v>
      </c>
      <c r="Y149" s="4">
        <f t="shared" si="25"/>
        <v>0.797136895547989</v>
      </c>
      <c r="Z149" s="4">
        <f t="shared" si="25"/>
        <v>0.775905430450436</v>
      </c>
      <c r="AA149" s="4">
        <f t="shared" si="25"/>
        <v>0.710020532219051</v>
      </c>
      <c r="AB149" s="4">
        <f t="shared" si="25"/>
        <v>0.613814585075668</v>
      </c>
      <c r="AC149" s="4">
        <f t="shared" si="25"/>
        <v>0.535018945431037</v>
      </c>
      <c r="AD149" s="4">
        <f t="shared" si="25"/>
        <v>0.521986782235909</v>
      </c>
      <c r="AE149" s="4">
        <f t="shared" si="25"/>
        <v>0.468840077350165</v>
      </c>
      <c r="AF149" s="4">
        <f t="shared" si="25"/>
        <v>0.437843893643358</v>
      </c>
      <c r="AG149" s="4">
        <f t="shared" si="25"/>
        <v>0.414598975676005</v>
      </c>
      <c r="AH149" s="4">
        <f t="shared" si="27"/>
        <v>0.327494860176849</v>
      </c>
      <c r="AI149" s="4">
        <f t="shared" si="27"/>
        <v>0.278342549028987</v>
      </c>
      <c r="AJ149" s="4">
        <f t="shared" si="27"/>
        <v>0.254907408174699</v>
      </c>
    </row>
    <row r="150" spans="1:36">
      <c r="A150" t="str">
        <f>"semis_procurement_archetype_"&amp;TEXT(ROUND(Table26916[[#This Row],[2016]],3),"0.0")</f>
        <v>semis_procurement_archetype_5.5</v>
      </c>
      <c r="B150" s="4">
        <f t="shared" si="24"/>
        <v>5.5</v>
      </c>
      <c r="C150" s="4">
        <f t="shared" si="26"/>
        <v>5.5</v>
      </c>
      <c r="D150" s="4">
        <f t="shared" si="26"/>
        <v>5.5</v>
      </c>
      <c r="E150" s="4">
        <f t="shared" si="26"/>
        <v>5.37287216691835</v>
      </c>
      <c r="F150" s="4">
        <f t="shared" si="26"/>
        <v>5.06553321619001</v>
      </c>
      <c r="G150" s="4">
        <f t="shared" si="26"/>
        <v>5.10849995274429</v>
      </c>
      <c r="H150" s="4">
        <f t="shared" si="26"/>
        <v>4.97509639113417</v>
      </c>
      <c r="I150" s="4">
        <f t="shared" si="26"/>
        <v>4.7170364156739</v>
      </c>
      <c r="J150" s="4">
        <f t="shared" si="26"/>
        <v>4.57207127202211</v>
      </c>
      <c r="K150" s="4">
        <f t="shared" si="26"/>
        <v>4.42326148734509</v>
      </c>
      <c r="L150" s="4">
        <f t="shared" si="26"/>
        <v>4.18819901665937</v>
      </c>
      <c r="M150" s="4">
        <f t="shared" si="26"/>
        <v>4.15966973989217</v>
      </c>
      <c r="N150" s="4">
        <f t="shared" si="26"/>
        <v>3.96706495750147</v>
      </c>
      <c r="O150" s="4">
        <f t="shared" si="26"/>
        <v>3.76734981430179</v>
      </c>
      <c r="P150" s="4">
        <f t="shared" si="26"/>
        <v>3.53124518068586</v>
      </c>
      <c r="Q150" s="4">
        <f t="shared" si="26"/>
        <v>3.07032411389387</v>
      </c>
      <c r="R150" s="4">
        <f t="shared" si="26"/>
        <v>2.44852695947411</v>
      </c>
      <c r="S150" s="4">
        <f t="shared" si="25"/>
        <v>2.25023462185344</v>
      </c>
      <c r="T150" s="4">
        <f t="shared" si="25"/>
        <v>1.81920289802341</v>
      </c>
      <c r="U150" s="4">
        <f t="shared" si="25"/>
        <v>1.38482253061508</v>
      </c>
      <c r="V150" s="4">
        <f t="shared" si="25"/>
        <v>1.30110557981372</v>
      </c>
      <c r="W150" s="4">
        <f t="shared" si="25"/>
        <v>1.04850363730961</v>
      </c>
      <c r="X150" s="4">
        <f t="shared" si="25"/>
        <v>0.920322420414476</v>
      </c>
      <c r="Y150" s="4">
        <f t="shared" si="25"/>
        <v>0.786992459730309</v>
      </c>
      <c r="Z150" s="4">
        <f t="shared" si="25"/>
        <v>0.76615820880132</v>
      </c>
      <c r="AA150" s="4">
        <f t="shared" si="25"/>
        <v>0.701505934647057</v>
      </c>
      <c r="AB150" s="4">
        <f t="shared" si="25"/>
        <v>0.607099880498803</v>
      </c>
      <c r="AC150" s="4">
        <f t="shared" si="25"/>
        <v>0.529778408762229</v>
      </c>
      <c r="AD150" s="4">
        <f t="shared" si="25"/>
        <v>0.516990061047774</v>
      </c>
      <c r="AE150" s="4">
        <f t="shared" si="25"/>
        <v>0.464837664566845</v>
      </c>
      <c r="AF150" s="4">
        <f t="shared" si="25"/>
        <v>0.434421380706007</v>
      </c>
      <c r="AG150" s="4">
        <f t="shared" si="25"/>
        <v>0.411611346093207</v>
      </c>
      <c r="AH150" s="4">
        <f t="shared" si="27"/>
        <v>0.326136839698155</v>
      </c>
      <c r="AI150" s="4">
        <f t="shared" si="27"/>
        <v>0.277904106842033</v>
      </c>
      <c r="AJ150" s="4">
        <f t="shared" si="27"/>
        <v>0.254907408174699</v>
      </c>
    </row>
    <row r="151" spans="1:36">
      <c r="A151" t="str">
        <f>"semis_procurement_archetype_"&amp;TEXT(ROUND(Table26916[[#This Row],[2016]],3),"0.0")</f>
        <v>semis_procurement_archetype_5.4</v>
      </c>
      <c r="B151" s="4">
        <f t="shared" si="24"/>
        <v>5.4</v>
      </c>
      <c r="C151" s="4">
        <f t="shared" si="26"/>
        <v>5.4</v>
      </c>
      <c r="D151" s="4">
        <f t="shared" si="26"/>
        <v>5.4</v>
      </c>
      <c r="E151" s="4">
        <f t="shared" si="26"/>
        <v>5.27529591503825</v>
      </c>
      <c r="F151" s="4">
        <f t="shared" si="26"/>
        <v>4.97381651674579</v>
      </c>
      <c r="G151" s="4">
        <f t="shared" si="26"/>
        <v>5.01596407354677</v>
      </c>
      <c r="H151" s="4">
        <f t="shared" si="26"/>
        <v>4.88510390958454</v>
      </c>
      <c r="I151" s="4">
        <f t="shared" si="26"/>
        <v>4.6319639611961</v>
      </c>
      <c r="J151" s="4">
        <f t="shared" si="26"/>
        <v>4.4897626418451</v>
      </c>
      <c r="K151" s="4">
        <f t="shared" si="26"/>
        <v>4.34378998124305</v>
      </c>
      <c r="L151" s="4">
        <f t="shared" si="26"/>
        <v>4.11320908007341</v>
      </c>
      <c r="M151" s="4">
        <f t="shared" si="26"/>
        <v>4.08522372653097</v>
      </c>
      <c r="N151" s="4">
        <f t="shared" si="26"/>
        <v>3.89629103913228</v>
      </c>
      <c r="O151" s="4">
        <f t="shared" si="26"/>
        <v>3.70038355308457</v>
      </c>
      <c r="P151" s="4">
        <f t="shared" si="26"/>
        <v>3.46878035827991</v>
      </c>
      <c r="Q151" s="4">
        <f t="shared" si="26"/>
        <v>3.0166469545982</v>
      </c>
      <c r="R151" s="4">
        <f t="shared" si="26"/>
        <v>2.40670463674298</v>
      </c>
      <c r="S151" s="4">
        <f t="shared" si="25"/>
        <v>2.21219282985936</v>
      </c>
      <c r="T151" s="4">
        <f t="shared" si="25"/>
        <v>1.78937891565393</v>
      </c>
      <c r="U151" s="4">
        <f t="shared" si="25"/>
        <v>1.36328020123464</v>
      </c>
      <c r="V151" s="4">
        <f t="shared" si="25"/>
        <v>1.28115935096603</v>
      </c>
      <c r="W151" s="4">
        <f t="shared" si="25"/>
        <v>1.03337337573193</v>
      </c>
      <c r="X151" s="4">
        <f t="shared" si="25"/>
        <v>0.907635990182971</v>
      </c>
      <c r="Y151" s="4">
        <f t="shared" si="25"/>
        <v>0.776848023912629</v>
      </c>
      <c r="Z151" s="4">
        <f t="shared" si="25"/>
        <v>0.756410987152203</v>
      </c>
      <c r="AA151" s="4">
        <f t="shared" si="25"/>
        <v>0.692991337075064</v>
      </c>
      <c r="AB151" s="4">
        <f t="shared" si="25"/>
        <v>0.600385175921938</v>
      </c>
      <c r="AC151" s="4">
        <f t="shared" si="25"/>
        <v>0.524537872093421</v>
      </c>
      <c r="AD151" s="4">
        <f t="shared" si="25"/>
        <v>0.511993339859638</v>
      </c>
      <c r="AE151" s="4">
        <f t="shared" si="25"/>
        <v>0.460835251783526</v>
      </c>
      <c r="AF151" s="4">
        <f t="shared" si="25"/>
        <v>0.430998867768655</v>
      </c>
      <c r="AG151" s="4">
        <f t="shared" si="25"/>
        <v>0.408623716510409</v>
      </c>
      <c r="AH151" s="4">
        <f t="shared" si="27"/>
        <v>0.324778819219461</v>
      </c>
      <c r="AI151" s="4">
        <f t="shared" si="27"/>
        <v>0.27746566465508</v>
      </c>
      <c r="AJ151" s="4">
        <f t="shared" si="27"/>
        <v>0.254907408174699</v>
      </c>
    </row>
    <row r="152" spans="1:36">
      <c r="A152" t="str">
        <f>"semis_procurement_archetype_"&amp;TEXT(ROUND(Table26916[[#This Row],[2016]],3),"0.0")</f>
        <v>semis_procurement_archetype_5.3</v>
      </c>
      <c r="B152" s="4">
        <f t="shared" si="24"/>
        <v>5.3</v>
      </c>
      <c r="C152" s="4">
        <f t="shared" si="26"/>
        <v>5.3</v>
      </c>
      <c r="D152" s="4">
        <f t="shared" si="26"/>
        <v>5.3</v>
      </c>
      <c r="E152" s="4">
        <f t="shared" si="26"/>
        <v>5.17771966315816</v>
      </c>
      <c r="F152" s="4">
        <f t="shared" si="26"/>
        <v>4.88209981730158</v>
      </c>
      <c r="G152" s="4">
        <f t="shared" si="26"/>
        <v>4.92342819434925</v>
      </c>
      <c r="H152" s="4">
        <f t="shared" si="26"/>
        <v>4.79511142803491</v>
      </c>
      <c r="I152" s="4">
        <f t="shared" si="26"/>
        <v>4.5468915067183</v>
      </c>
      <c r="J152" s="4">
        <f t="shared" si="26"/>
        <v>4.40745401166809</v>
      </c>
      <c r="K152" s="4">
        <f t="shared" si="26"/>
        <v>4.264318475141</v>
      </c>
      <c r="L152" s="4">
        <f t="shared" si="26"/>
        <v>4.03821914348745</v>
      </c>
      <c r="M152" s="4">
        <f t="shared" si="26"/>
        <v>4.01077771316977</v>
      </c>
      <c r="N152" s="4">
        <f t="shared" si="26"/>
        <v>3.82551712076309</v>
      </c>
      <c r="O152" s="4">
        <f t="shared" si="26"/>
        <v>3.63341729186734</v>
      </c>
      <c r="P152" s="4">
        <f t="shared" si="26"/>
        <v>3.40631553587396</v>
      </c>
      <c r="Q152" s="4">
        <f t="shared" si="26"/>
        <v>2.96296979530254</v>
      </c>
      <c r="R152" s="4">
        <f t="shared" si="26"/>
        <v>2.36488231401186</v>
      </c>
      <c r="S152" s="4">
        <f t="shared" si="25"/>
        <v>2.17415103786529</v>
      </c>
      <c r="T152" s="4">
        <f t="shared" si="25"/>
        <v>1.75955493328446</v>
      </c>
      <c r="U152" s="4">
        <f t="shared" si="25"/>
        <v>1.34173787185419</v>
      </c>
      <c r="V152" s="4">
        <f t="shared" si="25"/>
        <v>1.26121312211833</v>
      </c>
      <c r="W152" s="4">
        <f t="shared" si="25"/>
        <v>1.01824311415424</v>
      </c>
      <c r="X152" s="4">
        <f t="shared" si="25"/>
        <v>0.894949559951465</v>
      </c>
      <c r="Y152" s="4">
        <f t="shared" si="25"/>
        <v>0.766703588094949</v>
      </c>
      <c r="Z152" s="4">
        <f t="shared" si="25"/>
        <v>0.746663765503086</v>
      </c>
      <c r="AA152" s="4">
        <f t="shared" si="25"/>
        <v>0.684476739503071</v>
      </c>
      <c r="AB152" s="4">
        <f t="shared" si="25"/>
        <v>0.593670471345073</v>
      </c>
      <c r="AC152" s="4">
        <f t="shared" si="25"/>
        <v>0.519297335424613</v>
      </c>
      <c r="AD152" s="4">
        <f t="shared" si="25"/>
        <v>0.506996618671502</v>
      </c>
      <c r="AE152" s="4">
        <f t="shared" si="25"/>
        <v>0.456832839000207</v>
      </c>
      <c r="AF152" s="4">
        <f t="shared" si="25"/>
        <v>0.427576354831303</v>
      </c>
      <c r="AG152" s="4">
        <f t="shared" si="25"/>
        <v>0.405636086927611</v>
      </c>
      <c r="AH152" s="4">
        <f t="shared" si="27"/>
        <v>0.323420798740767</v>
      </c>
      <c r="AI152" s="4">
        <f t="shared" si="27"/>
        <v>0.277027222468126</v>
      </c>
      <c r="AJ152" s="4">
        <f t="shared" si="27"/>
        <v>0.254907408174699</v>
      </c>
    </row>
    <row r="153" spans="1:36">
      <c r="A153" t="str">
        <f>"semis_procurement_archetype_"&amp;TEXT(ROUND(Table26916[[#This Row],[2016]],3),"0.0")</f>
        <v>semis_procurement_archetype_5.2</v>
      </c>
      <c r="B153" s="4">
        <f t="shared" si="24"/>
        <v>5.2</v>
      </c>
      <c r="C153" s="4">
        <f t="shared" si="26"/>
        <v>5.2</v>
      </c>
      <c r="D153" s="4">
        <f t="shared" si="26"/>
        <v>5.2</v>
      </c>
      <c r="E153" s="4">
        <f t="shared" si="26"/>
        <v>5.08014341127806</v>
      </c>
      <c r="F153" s="4">
        <f t="shared" si="26"/>
        <v>4.79038311785736</v>
      </c>
      <c r="G153" s="4">
        <f t="shared" si="26"/>
        <v>4.83089231515173</v>
      </c>
      <c r="H153" s="4">
        <f t="shared" si="26"/>
        <v>4.70511894648527</v>
      </c>
      <c r="I153" s="4">
        <f t="shared" si="26"/>
        <v>4.4618190522405</v>
      </c>
      <c r="J153" s="4">
        <f t="shared" si="26"/>
        <v>4.32514538149107</v>
      </c>
      <c r="K153" s="4">
        <f t="shared" si="26"/>
        <v>4.18484696903896</v>
      </c>
      <c r="L153" s="4">
        <f t="shared" si="26"/>
        <v>3.96322920690149</v>
      </c>
      <c r="M153" s="4">
        <f t="shared" si="26"/>
        <v>3.93633169980857</v>
      </c>
      <c r="N153" s="4">
        <f t="shared" si="26"/>
        <v>3.7547432023939</v>
      </c>
      <c r="O153" s="4">
        <f t="shared" si="26"/>
        <v>3.56645103065012</v>
      </c>
      <c r="P153" s="4">
        <f t="shared" si="26"/>
        <v>3.34385071346801</v>
      </c>
      <c r="Q153" s="4">
        <f t="shared" si="26"/>
        <v>2.90929263600688</v>
      </c>
      <c r="R153" s="4">
        <f t="shared" si="26"/>
        <v>2.32305999128074</v>
      </c>
      <c r="S153" s="4">
        <f t="shared" si="25"/>
        <v>2.13610924587122</v>
      </c>
      <c r="T153" s="4">
        <f t="shared" si="25"/>
        <v>1.72973095091498</v>
      </c>
      <c r="U153" s="4">
        <f t="shared" si="25"/>
        <v>1.32019554247374</v>
      </c>
      <c r="V153" s="4">
        <f t="shared" si="25"/>
        <v>1.24126689327063</v>
      </c>
      <c r="W153" s="4">
        <f t="shared" si="25"/>
        <v>1.00311285257656</v>
      </c>
      <c r="X153" s="4">
        <f t="shared" si="25"/>
        <v>0.88226312971996</v>
      </c>
      <c r="Y153" s="4">
        <f t="shared" si="25"/>
        <v>0.756559152277269</v>
      </c>
      <c r="Z153" s="4">
        <f t="shared" si="25"/>
        <v>0.736916543853969</v>
      </c>
      <c r="AA153" s="4">
        <f t="shared" si="25"/>
        <v>0.675962141931077</v>
      </c>
      <c r="AB153" s="4">
        <f t="shared" si="25"/>
        <v>0.586955766768207</v>
      </c>
      <c r="AC153" s="4">
        <f t="shared" si="25"/>
        <v>0.514056798755805</v>
      </c>
      <c r="AD153" s="4">
        <f t="shared" si="25"/>
        <v>0.501999897483366</v>
      </c>
      <c r="AE153" s="4">
        <f t="shared" si="25"/>
        <v>0.452830426216888</v>
      </c>
      <c r="AF153" s="4">
        <f t="shared" si="25"/>
        <v>0.424153841893951</v>
      </c>
      <c r="AG153" s="4">
        <f t="shared" si="25"/>
        <v>0.402648457344814</v>
      </c>
      <c r="AH153" s="4">
        <f t="shared" si="27"/>
        <v>0.322062778262073</v>
      </c>
      <c r="AI153" s="4">
        <f t="shared" si="27"/>
        <v>0.276588780281173</v>
      </c>
      <c r="AJ153" s="4">
        <f t="shared" si="27"/>
        <v>0.254907408174699</v>
      </c>
    </row>
    <row r="154" spans="1:36">
      <c r="A154" t="str">
        <f>"semis_procurement_archetype_"&amp;TEXT(ROUND(Table26916[[#This Row],[2016]],3),"0.0")</f>
        <v>semis_procurement_archetype_5.1</v>
      </c>
      <c r="B154" s="4">
        <f t="shared" si="24"/>
        <v>5.1</v>
      </c>
      <c r="C154" s="4">
        <f t="shared" si="26"/>
        <v>5.1</v>
      </c>
      <c r="D154" s="4">
        <f t="shared" si="26"/>
        <v>5.1</v>
      </c>
      <c r="E154" s="4">
        <f t="shared" si="26"/>
        <v>4.98256715939797</v>
      </c>
      <c r="F154" s="4">
        <f t="shared" si="26"/>
        <v>4.69866641841314</v>
      </c>
      <c r="G154" s="4">
        <f t="shared" si="26"/>
        <v>4.73835643595421</v>
      </c>
      <c r="H154" s="4">
        <f t="shared" si="26"/>
        <v>4.61512646493564</v>
      </c>
      <c r="I154" s="4">
        <f t="shared" si="26"/>
        <v>4.37674659776269</v>
      </c>
      <c r="J154" s="4">
        <f t="shared" si="26"/>
        <v>4.24283675131406</v>
      </c>
      <c r="K154" s="4">
        <f t="shared" si="26"/>
        <v>4.10537546293691</v>
      </c>
      <c r="L154" s="4">
        <f t="shared" si="26"/>
        <v>3.88823927031553</v>
      </c>
      <c r="M154" s="4">
        <f t="shared" si="26"/>
        <v>3.86188568644737</v>
      </c>
      <c r="N154" s="4">
        <f t="shared" si="26"/>
        <v>3.68396928402471</v>
      </c>
      <c r="O154" s="4">
        <f t="shared" si="26"/>
        <v>3.49948476943289</v>
      </c>
      <c r="P154" s="4">
        <f t="shared" si="26"/>
        <v>3.28138589106207</v>
      </c>
      <c r="Q154" s="4">
        <f t="shared" si="26"/>
        <v>2.85561547671121</v>
      </c>
      <c r="R154" s="4">
        <f t="shared" si="26"/>
        <v>2.28123766854961</v>
      </c>
      <c r="S154" s="4">
        <f t="shared" si="25"/>
        <v>2.09806745387714</v>
      </c>
      <c r="T154" s="4">
        <f t="shared" si="25"/>
        <v>1.6999069685455</v>
      </c>
      <c r="U154" s="4">
        <f t="shared" si="25"/>
        <v>1.2986532130933</v>
      </c>
      <c r="V154" s="4">
        <f t="shared" si="25"/>
        <v>1.22132066442294</v>
      </c>
      <c r="W154" s="4">
        <f t="shared" si="25"/>
        <v>0.987982590998873</v>
      </c>
      <c r="X154" s="4">
        <f t="shared" si="25"/>
        <v>0.869576699488454</v>
      </c>
      <c r="Y154" s="4">
        <f t="shared" si="25"/>
        <v>0.746414716459589</v>
      </c>
      <c r="Z154" s="4">
        <f t="shared" si="25"/>
        <v>0.727169322204852</v>
      </c>
      <c r="AA154" s="4">
        <f t="shared" si="25"/>
        <v>0.667447544359084</v>
      </c>
      <c r="AB154" s="4">
        <f t="shared" si="25"/>
        <v>0.580241062191343</v>
      </c>
      <c r="AC154" s="4">
        <f t="shared" si="25"/>
        <v>0.508816262086998</v>
      </c>
      <c r="AD154" s="4">
        <f t="shared" si="25"/>
        <v>0.49700317629523</v>
      </c>
      <c r="AE154" s="4">
        <f t="shared" si="25"/>
        <v>0.448828013433568</v>
      </c>
      <c r="AF154" s="4">
        <f t="shared" si="25"/>
        <v>0.420731328956599</v>
      </c>
      <c r="AG154" s="4">
        <f t="shared" si="25"/>
        <v>0.399660827762016</v>
      </c>
      <c r="AH154" s="4">
        <f t="shared" si="27"/>
        <v>0.320704757783379</v>
      </c>
      <c r="AI154" s="4">
        <f t="shared" si="27"/>
        <v>0.27615033809422</v>
      </c>
      <c r="AJ154" s="4">
        <f t="shared" si="27"/>
        <v>0.254907408174699</v>
      </c>
    </row>
    <row r="155" spans="1:36">
      <c r="A155" t="str">
        <f>"semis_procurement_archetype_"&amp;TEXT(ROUND(Table26916[[#This Row],[2016]],3),"0.0")</f>
        <v>semis_procurement_archetype_5.0</v>
      </c>
      <c r="B155" s="4">
        <f t="shared" si="24"/>
        <v>5</v>
      </c>
      <c r="C155" s="4">
        <f t="shared" si="26"/>
        <v>5</v>
      </c>
      <c r="D155" s="4">
        <f t="shared" si="26"/>
        <v>5</v>
      </c>
      <c r="E155" s="4">
        <f t="shared" si="26"/>
        <v>4.88499090751787</v>
      </c>
      <c r="F155" s="4">
        <f t="shared" si="26"/>
        <v>4.60694971896893</v>
      </c>
      <c r="G155" s="4">
        <f t="shared" si="26"/>
        <v>4.64582055675668</v>
      </c>
      <c r="H155" s="4">
        <f t="shared" si="26"/>
        <v>4.52513398338601</v>
      </c>
      <c r="I155" s="4">
        <f t="shared" si="26"/>
        <v>4.29167414328489</v>
      </c>
      <c r="J155" s="4">
        <f t="shared" si="26"/>
        <v>4.16052812113704</v>
      </c>
      <c r="K155" s="4">
        <f t="shared" si="26"/>
        <v>4.02590395683487</v>
      </c>
      <c r="L155" s="4">
        <f t="shared" si="26"/>
        <v>3.81324933372957</v>
      </c>
      <c r="M155" s="4">
        <f t="shared" si="26"/>
        <v>3.78743967308618</v>
      </c>
      <c r="N155" s="4">
        <f t="shared" si="26"/>
        <v>3.61319536565552</v>
      </c>
      <c r="O155" s="4">
        <f t="shared" si="26"/>
        <v>3.43251850821566</v>
      </c>
      <c r="P155" s="4">
        <f t="shared" si="26"/>
        <v>3.21892106865612</v>
      </c>
      <c r="Q155" s="4">
        <f t="shared" si="26"/>
        <v>2.80193831741555</v>
      </c>
      <c r="R155" s="4">
        <f t="shared" si="26"/>
        <v>2.23941534581849</v>
      </c>
      <c r="S155" s="4">
        <f t="shared" si="25"/>
        <v>2.06002566188307</v>
      </c>
      <c r="T155" s="4">
        <f t="shared" si="25"/>
        <v>1.67008298617603</v>
      </c>
      <c r="U155" s="4">
        <f t="shared" si="25"/>
        <v>1.27711088371285</v>
      </c>
      <c r="V155" s="4">
        <f t="shared" si="25"/>
        <v>1.20137443557524</v>
      </c>
      <c r="W155" s="4">
        <f t="shared" si="25"/>
        <v>0.972852329421188</v>
      </c>
      <c r="X155" s="4">
        <f t="shared" si="25"/>
        <v>0.856890269256949</v>
      </c>
      <c r="Y155" s="4">
        <f t="shared" si="25"/>
        <v>0.736270280641909</v>
      </c>
      <c r="Z155" s="4">
        <f t="shared" si="25"/>
        <v>0.717422100555735</v>
      </c>
      <c r="AA155" s="4">
        <f t="shared" si="25"/>
        <v>0.658932946787091</v>
      </c>
      <c r="AB155" s="4">
        <f t="shared" si="25"/>
        <v>0.573526357614477</v>
      </c>
      <c r="AC155" s="4">
        <f t="shared" si="25"/>
        <v>0.50357572541819</v>
      </c>
      <c r="AD155" s="4">
        <f t="shared" si="25"/>
        <v>0.492006455107095</v>
      </c>
      <c r="AE155" s="4">
        <f t="shared" si="25"/>
        <v>0.444825600650249</v>
      </c>
      <c r="AF155" s="4">
        <f t="shared" si="25"/>
        <v>0.417308816019247</v>
      </c>
      <c r="AG155" s="4">
        <f t="shared" si="25"/>
        <v>0.396673198179218</v>
      </c>
      <c r="AH155" s="4">
        <f t="shared" si="27"/>
        <v>0.319346737304684</v>
      </c>
      <c r="AI155" s="4">
        <f t="shared" si="27"/>
        <v>0.275711895907266</v>
      </c>
      <c r="AJ155" s="4">
        <f t="shared" si="27"/>
        <v>0.254907408174699</v>
      </c>
    </row>
    <row r="156" spans="1:36">
      <c r="A156" t="str">
        <f>"semis_procurement_archetype_"&amp;TEXT(ROUND(Table26916[[#This Row],[2016]],3),"0.0")</f>
        <v>semis_procurement_archetype_4.9</v>
      </c>
      <c r="B156" s="4">
        <f t="shared" si="24"/>
        <v>4.9</v>
      </c>
      <c r="C156" s="4">
        <f t="shared" si="26"/>
        <v>4.9</v>
      </c>
      <c r="D156" s="4">
        <f t="shared" si="26"/>
        <v>4.9</v>
      </c>
      <c r="E156" s="4">
        <f t="shared" si="26"/>
        <v>4.78741465563778</v>
      </c>
      <c r="F156" s="4">
        <f t="shared" si="26"/>
        <v>4.51523301952471</v>
      </c>
      <c r="G156" s="4">
        <f t="shared" si="26"/>
        <v>4.55328467755916</v>
      </c>
      <c r="H156" s="4">
        <f t="shared" si="26"/>
        <v>4.43514150183638</v>
      </c>
      <c r="I156" s="4">
        <f t="shared" si="26"/>
        <v>4.20660168880709</v>
      </c>
      <c r="J156" s="4">
        <f t="shared" si="26"/>
        <v>4.07821949096003</v>
      </c>
      <c r="K156" s="4">
        <f t="shared" si="26"/>
        <v>3.94643245073282</v>
      </c>
      <c r="L156" s="4">
        <f t="shared" si="26"/>
        <v>3.73825939714361</v>
      </c>
      <c r="M156" s="4">
        <f t="shared" si="26"/>
        <v>3.71299365972498</v>
      </c>
      <c r="N156" s="4">
        <f t="shared" si="26"/>
        <v>3.54242144728634</v>
      </c>
      <c r="O156" s="4">
        <f t="shared" si="26"/>
        <v>3.36555224699844</v>
      </c>
      <c r="P156" s="4">
        <f t="shared" si="26"/>
        <v>3.15645624625017</v>
      </c>
      <c r="Q156" s="4">
        <f t="shared" si="26"/>
        <v>2.74826115811988</v>
      </c>
      <c r="R156" s="4">
        <f t="shared" ref="R156:AG171" si="28">(($B156-$AJ$2)*((R$2-$AJ$2)/($B$2-$AJ$2)))+$AJ$2</f>
        <v>2.19759302308737</v>
      </c>
      <c r="S156" s="4">
        <f t="shared" si="28"/>
        <v>2.021983869889</v>
      </c>
      <c r="T156" s="4">
        <f t="shared" si="28"/>
        <v>1.64025900380655</v>
      </c>
      <c r="U156" s="4">
        <f t="shared" si="28"/>
        <v>1.2555685543324</v>
      </c>
      <c r="V156" s="4">
        <f t="shared" si="28"/>
        <v>1.18142820672755</v>
      </c>
      <c r="W156" s="4">
        <f t="shared" si="28"/>
        <v>0.957722067843504</v>
      </c>
      <c r="X156" s="4">
        <f t="shared" si="28"/>
        <v>0.844203839025443</v>
      </c>
      <c r="Y156" s="4">
        <f t="shared" si="28"/>
        <v>0.726125844824229</v>
      </c>
      <c r="Z156" s="4">
        <f t="shared" si="28"/>
        <v>0.707674878906618</v>
      </c>
      <c r="AA156" s="4">
        <f t="shared" si="28"/>
        <v>0.650418349215097</v>
      </c>
      <c r="AB156" s="4">
        <f t="shared" si="28"/>
        <v>0.566811653037612</v>
      </c>
      <c r="AC156" s="4">
        <f t="shared" si="28"/>
        <v>0.498335188749382</v>
      </c>
      <c r="AD156" s="4">
        <f t="shared" si="28"/>
        <v>0.487009733918959</v>
      </c>
      <c r="AE156" s="4">
        <f t="shared" si="28"/>
        <v>0.44082318786693</v>
      </c>
      <c r="AF156" s="4">
        <f t="shared" si="28"/>
        <v>0.413886303081895</v>
      </c>
      <c r="AG156" s="4">
        <f t="shared" si="28"/>
        <v>0.39368556859642</v>
      </c>
      <c r="AH156" s="4">
        <f t="shared" si="27"/>
        <v>0.31798871682599</v>
      </c>
      <c r="AI156" s="4">
        <f t="shared" si="27"/>
        <v>0.275273453720313</v>
      </c>
      <c r="AJ156" s="4">
        <f t="shared" si="27"/>
        <v>0.254907408174699</v>
      </c>
    </row>
    <row r="157" spans="1:36">
      <c r="A157" t="str">
        <f>"semis_procurement_archetype_"&amp;TEXT(ROUND(Table26916[[#This Row],[2016]],3),"0.0")</f>
        <v>semis_procurement_archetype_4.8</v>
      </c>
      <c r="B157" s="4">
        <f t="shared" si="24"/>
        <v>4.8</v>
      </c>
      <c r="C157" s="4">
        <f t="shared" ref="C157:R172" si="29">(($B157-$AJ$2)*((C$2-$AJ$2)/($B$2-$AJ$2)))+$AJ$2</f>
        <v>4.8</v>
      </c>
      <c r="D157" s="4">
        <f t="shared" si="29"/>
        <v>4.8</v>
      </c>
      <c r="E157" s="4">
        <f t="shared" si="29"/>
        <v>4.68983840375768</v>
      </c>
      <c r="F157" s="4">
        <f t="shared" si="29"/>
        <v>4.42351632008049</v>
      </c>
      <c r="G157" s="4">
        <f t="shared" si="29"/>
        <v>4.46074879836164</v>
      </c>
      <c r="H157" s="4">
        <f t="shared" si="29"/>
        <v>4.34514902028675</v>
      </c>
      <c r="I157" s="4">
        <f t="shared" si="29"/>
        <v>4.12152923432928</v>
      </c>
      <c r="J157" s="4">
        <f t="shared" si="29"/>
        <v>3.99591086078302</v>
      </c>
      <c r="K157" s="4">
        <f t="shared" si="29"/>
        <v>3.86696094463077</v>
      </c>
      <c r="L157" s="4">
        <f t="shared" si="29"/>
        <v>3.66326946055765</v>
      </c>
      <c r="M157" s="4">
        <f t="shared" si="29"/>
        <v>3.63854764636378</v>
      </c>
      <c r="N157" s="4">
        <f t="shared" si="29"/>
        <v>3.47164752891715</v>
      </c>
      <c r="O157" s="4">
        <f t="shared" si="29"/>
        <v>3.29858598578121</v>
      </c>
      <c r="P157" s="4">
        <f t="shared" si="29"/>
        <v>3.09399142384423</v>
      </c>
      <c r="Q157" s="4">
        <f t="shared" si="29"/>
        <v>2.69458399882422</v>
      </c>
      <c r="R157" s="4">
        <f t="shared" si="29"/>
        <v>2.15577070035624</v>
      </c>
      <c r="S157" s="4">
        <f t="shared" si="28"/>
        <v>1.98394207789492</v>
      </c>
      <c r="T157" s="4">
        <f t="shared" si="28"/>
        <v>1.61043502143707</v>
      </c>
      <c r="U157" s="4">
        <f t="shared" si="28"/>
        <v>1.23402622495196</v>
      </c>
      <c r="V157" s="4">
        <f t="shared" si="28"/>
        <v>1.16148197787985</v>
      </c>
      <c r="W157" s="4">
        <f t="shared" si="28"/>
        <v>0.94259180626582</v>
      </c>
      <c r="X157" s="4">
        <f t="shared" si="28"/>
        <v>0.831517408793938</v>
      </c>
      <c r="Y157" s="4">
        <f t="shared" si="28"/>
        <v>0.715981409006549</v>
      </c>
      <c r="Z157" s="4">
        <f t="shared" si="28"/>
        <v>0.697927657257501</v>
      </c>
      <c r="AA157" s="4">
        <f t="shared" si="28"/>
        <v>0.641903751643104</v>
      </c>
      <c r="AB157" s="4">
        <f t="shared" si="28"/>
        <v>0.560096948460747</v>
      </c>
      <c r="AC157" s="4">
        <f t="shared" si="28"/>
        <v>0.493094652080574</v>
      </c>
      <c r="AD157" s="4">
        <f t="shared" si="28"/>
        <v>0.482013012730823</v>
      </c>
      <c r="AE157" s="4">
        <f t="shared" si="28"/>
        <v>0.436820775083611</v>
      </c>
      <c r="AF157" s="4">
        <f t="shared" si="28"/>
        <v>0.410463790144543</v>
      </c>
      <c r="AG157" s="4">
        <f t="shared" si="28"/>
        <v>0.390697939013622</v>
      </c>
      <c r="AH157" s="4">
        <f t="shared" si="27"/>
        <v>0.316630696347296</v>
      </c>
      <c r="AI157" s="4">
        <f t="shared" si="27"/>
        <v>0.274835011533359</v>
      </c>
      <c r="AJ157" s="4">
        <f t="shared" si="27"/>
        <v>0.254907408174699</v>
      </c>
    </row>
    <row r="158" spans="1:36">
      <c r="A158" t="str">
        <f>"semis_procurement_archetype_"&amp;TEXT(ROUND(Table26916[[#This Row],[2016]],3),"0.0")</f>
        <v>semis_procurement_archetype_4.7</v>
      </c>
      <c r="B158" s="4">
        <f t="shared" si="24"/>
        <v>4.7</v>
      </c>
      <c r="C158" s="4">
        <f t="shared" si="29"/>
        <v>4.7</v>
      </c>
      <c r="D158" s="4">
        <f t="shared" si="29"/>
        <v>4.7</v>
      </c>
      <c r="E158" s="4">
        <f t="shared" si="29"/>
        <v>4.59226215187759</v>
      </c>
      <c r="F158" s="4">
        <f t="shared" si="29"/>
        <v>4.33179962063627</v>
      </c>
      <c r="G158" s="4">
        <f t="shared" si="29"/>
        <v>4.36821291916412</v>
      </c>
      <c r="H158" s="4">
        <f t="shared" si="29"/>
        <v>4.25515653873712</v>
      </c>
      <c r="I158" s="4">
        <f t="shared" si="29"/>
        <v>4.03645677985148</v>
      </c>
      <c r="J158" s="4">
        <f t="shared" si="29"/>
        <v>3.91360223060601</v>
      </c>
      <c r="K158" s="4">
        <f t="shared" si="29"/>
        <v>3.78748943852873</v>
      </c>
      <c r="L158" s="4">
        <f t="shared" si="29"/>
        <v>3.58827952397169</v>
      </c>
      <c r="M158" s="4">
        <f t="shared" si="29"/>
        <v>3.56410163300258</v>
      </c>
      <c r="N158" s="4">
        <f t="shared" si="29"/>
        <v>3.40087361054796</v>
      </c>
      <c r="O158" s="4">
        <f t="shared" si="29"/>
        <v>3.23161972456399</v>
      </c>
      <c r="P158" s="4">
        <f t="shared" si="29"/>
        <v>3.03152660143828</v>
      </c>
      <c r="Q158" s="4">
        <f t="shared" si="29"/>
        <v>2.64090683952855</v>
      </c>
      <c r="R158" s="4">
        <f t="shared" si="29"/>
        <v>2.11394837762512</v>
      </c>
      <c r="S158" s="4">
        <f t="shared" si="28"/>
        <v>1.94590028590085</v>
      </c>
      <c r="T158" s="4">
        <f t="shared" si="28"/>
        <v>1.5806110390676</v>
      </c>
      <c r="U158" s="4">
        <f t="shared" si="28"/>
        <v>1.21248389557151</v>
      </c>
      <c r="V158" s="4">
        <f t="shared" si="28"/>
        <v>1.14153574903215</v>
      </c>
      <c r="W158" s="4">
        <f t="shared" si="28"/>
        <v>0.927461544688135</v>
      </c>
      <c r="X158" s="4">
        <f t="shared" si="28"/>
        <v>0.818830978562433</v>
      </c>
      <c r="Y158" s="4">
        <f t="shared" si="28"/>
        <v>0.705836973188869</v>
      </c>
      <c r="Z158" s="4">
        <f t="shared" si="28"/>
        <v>0.688180435608385</v>
      </c>
      <c r="AA158" s="4">
        <f t="shared" si="28"/>
        <v>0.633389154071111</v>
      </c>
      <c r="AB158" s="4">
        <f t="shared" si="28"/>
        <v>0.553382243883882</v>
      </c>
      <c r="AC158" s="4">
        <f t="shared" si="28"/>
        <v>0.487854115411766</v>
      </c>
      <c r="AD158" s="4">
        <f t="shared" si="28"/>
        <v>0.477016291542687</v>
      </c>
      <c r="AE158" s="4">
        <f t="shared" si="28"/>
        <v>0.432818362300291</v>
      </c>
      <c r="AF158" s="4">
        <f t="shared" si="28"/>
        <v>0.407041277207191</v>
      </c>
      <c r="AG158" s="4">
        <f t="shared" si="28"/>
        <v>0.387710309430825</v>
      </c>
      <c r="AH158" s="4">
        <f t="shared" si="27"/>
        <v>0.315272675868602</v>
      </c>
      <c r="AI158" s="4">
        <f t="shared" si="27"/>
        <v>0.274396569346406</v>
      </c>
      <c r="AJ158" s="4">
        <f t="shared" si="27"/>
        <v>0.254907408174699</v>
      </c>
    </row>
    <row r="159" spans="1:36">
      <c r="A159" t="str">
        <f>"semis_procurement_archetype_"&amp;TEXT(ROUND(Table26916[[#This Row],[2016]],3),"0.0")</f>
        <v>semis_procurement_archetype_4.6</v>
      </c>
      <c r="B159" s="4">
        <f t="shared" si="24"/>
        <v>4.6</v>
      </c>
      <c r="C159" s="4">
        <f t="shared" si="29"/>
        <v>4.6</v>
      </c>
      <c r="D159" s="4">
        <f t="shared" si="29"/>
        <v>4.6</v>
      </c>
      <c r="E159" s="4">
        <f t="shared" si="29"/>
        <v>4.49468589999749</v>
      </c>
      <c r="F159" s="4">
        <f t="shared" si="29"/>
        <v>4.24008292119206</v>
      </c>
      <c r="G159" s="4">
        <f t="shared" si="29"/>
        <v>4.2756770399666</v>
      </c>
      <c r="H159" s="4">
        <f t="shared" si="29"/>
        <v>4.16516405718749</v>
      </c>
      <c r="I159" s="4">
        <f t="shared" si="29"/>
        <v>3.95138432537368</v>
      </c>
      <c r="J159" s="4">
        <f t="shared" si="29"/>
        <v>3.83129360042899</v>
      </c>
      <c r="K159" s="4">
        <f t="shared" si="29"/>
        <v>3.70801793242668</v>
      </c>
      <c r="L159" s="4">
        <f t="shared" si="29"/>
        <v>3.51328958738573</v>
      </c>
      <c r="M159" s="4">
        <f t="shared" si="29"/>
        <v>3.48965561964139</v>
      </c>
      <c r="N159" s="4">
        <f t="shared" si="29"/>
        <v>3.33009969217877</v>
      </c>
      <c r="O159" s="4">
        <f t="shared" si="29"/>
        <v>3.16465346334676</v>
      </c>
      <c r="P159" s="4">
        <f t="shared" si="29"/>
        <v>2.96906177903233</v>
      </c>
      <c r="Q159" s="4">
        <f t="shared" si="29"/>
        <v>2.58722968023289</v>
      </c>
      <c r="R159" s="4">
        <f t="shared" si="29"/>
        <v>2.072126054894</v>
      </c>
      <c r="S159" s="4">
        <f t="shared" si="28"/>
        <v>1.90785849390678</v>
      </c>
      <c r="T159" s="4">
        <f t="shared" si="28"/>
        <v>1.55078705669812</v>
      </c>
      <c r="U159" s="4">
        <f t="shared" si="28"/>
        <v>1.19094156619107</v>
      </c>
      <c r="V159" s="4">
        <f t="shared" si="28"/>
        <v>1.12158952018446</v>
      </c>
      <c r="W159" s="4">
        <f t="shared" si="28"/>
        <v>0.912331283110451</v>
      </c>
      <c r="X159" s="4">
        <f t="shared" si="28"/>
        <v>0.806144548330927</v>
      </c>
      <c r="Y159" s="4">
        <f t="shared" si="28"/>
        <v>0.695692537371188</v>
      </c>
      <c r="Z159" s="4">
        <f t="shared" si="28"/>
        <v>0.678433213959268</v>
      </c>
      <c r="AA159" s="4">
        <f t="shared" si="28"/>
        <v>0.624874556499117</v>
      </c>
      <c r="AB159" s="4">
        <f t="shared" si="28"/>
        <v>0.546667539307017</v>
      </c>
      <c r="AC159" s="4">
        <f t="shared" si="28"/>
        <v>0.482613578742958</v>
      </c>
      <c r="AD159" s="4">
        <f t="shared" si="28"/>
        <v>0.472019570354552</v>
      </c>
      <c r="AE159" s="4">
        <f t="shared" si="28"/>
        <v>0.428815949516972</v>
      </c>
      <c r="AF159" s="4">
        <f t="shared" si="28"/>
        <v>0.403618764269839</v>
      </c>
      <c r="AG159" s="4">
        <f t="shared" si="28"/>
        <v>0.384722679848027</v>
      </c>
      <c r="AH159" s="4">
        <f t="shared" si="27"/>
        <v>0.313914655389908</v>
      </c>
      <c r="AI159" s="4">
        <f t="shared" si="27"/>
        <v>0.273958127159452</v>
      </c>
      <c r="AJ159" s="4">
        <f t="shared" si="27"/>
        <v>0.254907408174699</v>
      </c>
    </row>
    <row r="160" spans="1:36">
      <c r="A160" t="str">
        <f>"semis_procurement_archetype_"&amp;TEXT(ROUND(Table26916[[#This Row],[2016]],3),"0.0")</f>
        <v>semis_procurement_archetype_4.5</v>
      </c>
      <c r="B160" s="4">
        <f t="shared" si="24"/>
        <v>4.5</v>
      </c>
      <c r="C160" s="4">
        <f t="shared" si="29"/>
        <v>4.5</v>
      </c>
      <c r="D160" s="4">
        <f t="shared" si="29"/>
        <v>4.5</v>
      </c>
      <c r="E160" s="4">
        <f t="shared" si="29"/>
        <v>4.3971096481174</v>
      </c>
      <c r="F160" s="4">
        <f t="shared" si="29"/>
        <v>4.14836622174784</v>
      </c>
      <c r="G160" s="4">
        <f t="shared" si="29"/>
        <v>4.18314116076908</v>
      </c>
      <c r="H160" s="4">
        <f t="shared" si="29"/>
        <v>4.07517157563785</v>
      </c>
      <c r="I160" s="4">
        <f t="shared" si="29"/>
        <v>3.86631187089587</v>
      </c>
      <c r="J160" s="4">
        <f t="shared" si="29"/>
        <v>3.74898497025198</v>
      </c>
      <c r="K160" s="4">
        <f t="shared" si="29"/>
        <v>3.62854642632464</v>
      </c>
      <c r="L160" s="4">
        <f t="shared" si="29"/>
        <v>3.43829965079977</v>
      </c>
      <c r="M160" s="4">
        <f t="shared" si="29"/>
        <v>3.41520960628019</v>
      </c>
      <c r="N160" s="4">
        <f t="shared" si="29"/>
        <v>3.25932577380958</v>
      </c>
      <c r="O160" s="4">
        <f t="shared" si="29"/>
        <v>3.09768720212954</v>
      </c>
      <c r="P160" s="4">
        <f t="shared" si="29"/>
        <v>2.90659695662639</v>
      </c>
      <c r="Q160" s="4">
        <f t="shared" si="29"/>
        <v>2.53355252093722</v>
      </c>
      <c r="R160" s="4">
        <f t="shared" si="29"/>
        <v>2.03030373216287</v>
      </c>
      <c r="S160" s="4">
        <f t="shared" si="28"/>
        <v>1.8698167019127</v>
      </c>
      <c r="T160" s="4">
        <f t="shared" si="28"/>
        <v>1.52096307432864</v>
      </c>
      <c r="U160" s="4">
        <f t="shared" si="28"/>
        <v>1.16939923681062</v>
      </c>
      <c r="V160" s="4">
        <f t="shared" si="28"/>
        <v>1.10164329133676</v>
      </c>
      <c r="W160" s="4">
        <f t="shared" si="28"/>
        <v>0.897201021532767</v>
      </c>
      <c r="X160" s="4">
        <f t="shared" si="28"/>
        <v>0.793458118099422</v>
      </c>
      <c r="Y160" s="4">
        <f t="shared" si="28"/>
        <v>0.685548101553508</v>
      </c>
      <c r="Z160" s="4">
        <f t="shared" si="28"/>
        <v>0.668685992310151</v>
      </c>
      <c r="AA160" s="4">
        <f t="shared" si="28"/>
        <v>0.616359958927124</v>
      </c>
      <c r="AB160" s="4">
        <f t="shared" si="28"/>
        <v>0.539952834730152</v>
      </c>
      <c r="AC160" s="4">
        <f t="shared" si="28"/>
        <v>0.47737304207415</v>
      </c>
      <c r="AD160" s="4">
        <f t="shared" si="28"/>
        <v>0.467022849166416</v>
      </c>
      <c r="AE160" s="4">
        <f t="shared" si="28"/>
        <v>0.424813536733653</v>
      </c>
      <c r="AF160" s="4">
        <f t="shared" si="28"/>
        <v>0.400196251332487</v>
      </c>
      <c r="AG160" s="4">
        <f t="shared" si="28"/>
        <v>0.381735050265229</v>
      </c>
      <c r="AH160" s="4">
        <f t="shared" si="27"/>
        <v>0.312556634911214</v>
      </c>
      <c r="AI160" s="4">
        <f t="shared" si="27"/>
        <v>0.273519684972499</v>
      </c>
      <c r="AJ160" s="4">
        <f t="shared" si="27"/>
        <v>0.254907408174699</v>
      </c>
    </row>
    <row r="161" spans="1:36">
      <c r="A161" t="str">
        <f>"semis_procurement_archetype_"&amp;TEXT(ROUND(Table26916[[#This Row],[2016]],3),"0.0")</f>
        <v>semis_procurement_archetype_4.4</v>
      </c>
      <c r="B161" s="4">
        <f t="shared" si="24"/>
        <v>4.4</v>
      </c>
      <c r="C161" s="4">
        <f t="shared" si="29"/>
        <v>4.4</v>
      </c>
      <c r="D161" s="4">
        <f t="shared" si="29"/>
        <v>4.4</v>
      </c>
      <c r="E161" s="4">
        <f t="shared" si="29"/>
        <v>4.2995333962373</v>
      </c>
      <c r="F161" s="4">
        <f t="shared" si="29"/>
        <v>4.05664952230362</v>
      </c>
      <c r="G161" s="4">
        <f t="shared" si="29"/>
        <v>4.09060528157156</v>
      </c>
      <c r="H161" s="4">
        <f t="shared" si="29"/>
        <v>3.98517909408822</v>
      </c>
      <c r="I161" s="4">
        <f t="shared" si="29"/>
        <v>3.78123941641807</v>
      </c>
      <c r="J161" s="4">
        <f t="shared" si="29"/>
        <v>3.66667634007497</v>
      </c>
      <c r="K161" s="4">
        <f t="shared" si="29"/>
        <v>3.54907492022259</v>
      </c>
      <c r="L161" s="4">
        <f t="shared" si="29"/>
        <v>3.36330971421381</v>
      </c>
      <c r="M161" s="4">
        <f t="shared" si="29"/>
        <v>3.34076359291899</v>
      </c>
      <c r="N161" s="4">
        <f t="shared" si="29"/>
        <v>3.1885518554404</v>
      </c>
      <c r="O161" s="4">
        <f t="shared" si="29"/>
        <v>3.03072094091231</v>
      </c>
      <c r="P161" s="4">
        <f t="shared" si="29"/>
        <v>2.84413213422044</v>
      </c>
      <c r="Q161" s="4">
        <f t="shared" si="29"/>
        <v>2.47987536164156</v>
      </c>
      <c r="R161" s="4">
        <f t="shared" si="29"/>
        <v>1.98848140943175</v>
      </c>
      <c r="S161" s="4">
        <f t="shared" si="28"/>
        <v>1.83177490991863</v>
      </c>
      <c r="T161" s="4">
        <f t="shared" si="28"/>
        <v>1.49113909195917</v>
      </c>
      <c r="U161" s="4">
        <f t="shared" si="28"/>
        <v>1.14785690743017</v>
      </c>
      <c r="V161" s="4">
        <f t="shared" si="28"/>
        <v>1.08169706248907</v>
      </c>
      <c r="W161" s="4">
        <f t="shared" si="28"/>
        <v>0.882070759955082</v>
      </c>
      <c r="X161" s="4">
        <f t="shared" si="28"/>
        <v>0.780771687867916</v>
      </c>
      <c r="Y161" s="4">
        <f t="shared" si="28"/>
        <v>0.675403665735828</v>
      </c>
      <c r="Z161" s="4">
        <f t="shared" si="28"/>
        <v>0.658938770661034</v>
      </c>
      <c r="AA161" s="4">
        <f t="shared" si="28"/>
        <v>0.607845361355131</v>
      </c>
      <c r="AB161" s="4">
        <f t="shared" si="28"/>
        <v>0.533238130153287</v>
      </c>
      <c r="AC161" s="4">
        <f t="shared" si="28"/>
        <v>0.472132505405342</v>
      </c>
      <c r="AD161" s="4">
        <f t="shared" si="28"/>
        <v>0.46202612797828</v>
      </c>
      <c r="AE161" s="4">
        <f t="shared" si="28"/>
        <v>0.420811123950334</v>
      </c>
      <c r="AF161" s="4">
        <f t="shared" si="28"/>
        <v>0.396773738395136</v>
      </c>
      <c r="AG161" s="4">
        <f t="shared" si="28"/>
        <v>0.378747420682431</v>
      </c>
      <c r="AH161" s="4">
        <f t="shared" si="27"/>
        <v>0.31119861443252</v>
      </c>
      <c r="AI161" s="4">
        <f t="shared" si="27"/>
        <v>0.273081242785545</v>
      </c>
      <c r="AJ161" s="4">
        <f t="shared" si="27"/>
        <v>0.254907408174699</v>
      </c>
    </row>
    <row r="162" spans="1:36">
      <c r="A162" t="str">
        <f>"semis_procurement_archetype_"&amp;TEXT(ROUND(Table26916[[#This Row],[2016]],3),"0.0")</f>
        <v>semis_procurement_archetype_4.3</v>
      </c>
      <c r="B162" s="4">
        <f t="shared" si="24"/>
        <v>4.3</v>
      </c>
      <c r="C162" s="4">
        <f t="shared" si="29"/>
        <v>4.3</v>
      </c>
      <c r="D162" s="4">
        <f t="shared" si="29"/>
        <v>4.3</v>
      </c>
      <c r="E162" s="4">
        <f t="shared" si="29"/>
        <v>4.20195714435721</v>
      </c>
      <c r="F162" s="4">
        <f t="shared" si="29"/>
        <v>3.96493282285941</v>
      </c>
      <c r="G162" s="4">
        <f t="shared" si="29"/>
        <v>3.99806940237404</v>
      </c>
      <c r="H162" s="4">
        <f t="shared" si="29"/>
        <v>3.89518661253859</v>
      </c>
      <c r="I162" s="4">
        <f t="shared" si="29"/>
        <v>3.69616696194027</v>
      </c>
      <c r="J162" s="4">
        <f t="shared" si="29"/>
        <v>3.58436770989795</v>
      </c>
      <c r="K162" s="4">
        <f t="shared" si="29"/>
        <v>3.46960341412054</v>
      </c>
      <c r="L162" s="4">
        <f t="shared" si="29"/>
        <v>3.28831977762785</v>
      </c>
      <c r="M162" s="4">
        <f t="shared" si="29"/>
        <v>3.26631757955779</v>
      </c>
      <c r="N162" s="4">
        <f t="shared" si="29"/>
        <v>3.11777793707121</v>
      </c>
      <c r="O162" s="4">
        <f t="shared" si="29"/>
        <v>2.96375467969508</v>
      </c>
      <c r="P162" s="4">
        <f t="shared" si="29"/>
        <v>2.78166731181449</v>
      </c>
      <c r="Q162" s="4">
        <f t="shared" si="29"/>
        <v>2.42619820234589</v>
      </c>
      <c r="R162" s="4">
        <f t="shared" si="29"/>
        <v>1.94665908670063</v>
      </c>
      <c r="S162" s="4">
        <f t="shared" si="28"/>
        <v>1.79373311792455</v>
      </c>
      <c r="T162" s="4">
        <f t="shared" si="28"/>
        <v>1.46131510958969</v>
      </c>
      <c r="U162" s="4">
        <f t="shared" si="28"/>
        <v>1.12631457804973</v>
      </c>
      <c r="V162" s="4">
        <f t="shared" si="28"/>
        <v>1.06175083364137</v>
      </c>
      <c r="W162" s="4">
        <f t="shared" si="28"/>
        <v>0.866940498377398</v>
      </c>
      <c r="X162" s="4">
        <f t="shared" si="28"/>
        <v>0.768085257636411</v>
      </c>
      <c r="Y162" s="4">
        <f t="shared" si="28"/>
        <v>0.665259229918148</v>
      </c>
      <c r="Z162" s="4">
        <f t="shared" si="28"/>
        <v>0.649191549011917</v>
      </c>
      <c r="AA162" s="4">
        <f t="shared" si="28"/>
        <v>0.599330763783138</v>
      </c>
      <c r="AB162" s="4">
        <f t="shared" si="28"/>
        <v>0.526523425576422</v>
      </c>
      <c r="AC162" s="4">
        <f t="shared" si="28"/>
        <v>0.466891968736535</v>
      </c>
      <c r="AD162" s="4">
        <f t="shared" si="28"/>
        <v>0.457029406790144</v>
      </c>
      <c r="AE162" s="4">
        <f t="shared" si="28"/>
        <v>0.416808711167014</v>
      </c>
      <c r="AF162" s="4">
        <f t="shared" si="28"/>
        <v>0.393351225457784</v>
      </c>
      <c r="AG162" s="4">
        <f t="shared" si="28"/>
        <v>0.375759791099633</v>
      </c>
      <c r="AH162" s="4">
        <f t="shared" si="27"/>
        <v>0.309840593953826</v>
      </c>
      <c r="AI162" s="4">
        <f t="shared" si="27"/>
        <v>0.272642800598592</v>
      </c>
      <c r="AJ162" s="4">
        <f t="shared" si="27"/>
        <v>0.254907408174699</v>
      </c>
    </row>
    <row r="163" spans="1:36">
      <c r="A163" t="str">
        <f>"semis_procurement_archetype_"&amp;TEXT(ROUND(Table26916[[#This Row],[2016]],3),"0.0")</f>
        <v>semis_procurement_archetype_4.2</v>
      </c>
      <c r="B163" s="4">
        <f t="shared" si="24"/>
        <v>4.2</v>
      </c>
      <c r="C163" s="4">
        <f t="shared" si="29"/>
        <v>4.2</v>
      </c>
      <c r="D163" s="4">
        <f t="shared" si="29"/>
        <v>4.2</v>
      </c>
      <c r="E163" s="4">
        <f t="shared" si="29"/>
        <v>4.10438089247711</v>
      </c>
      <c r="F163" s="4">
        <f t="shared" si="29"/>
        <v>3.87321612341519</v>
      </c>
      <c r="G163" s="4">
        <f t="shared" si="29"/>
        <v>3.90553352317652</v>
      </c>
      <c r="H163" s="4">
        <f t="shared" si="29"/>
        <v>3.80519413098896</v>
      </c>
      <c r="I163" s="4">
        <f t="shared" si="29"/>
        <v>3.61109450746246</v>
      </c>
      <c r="J163" s="4">
        <f t="shared" si="29"/>
        <v>3.50205907972094</v>
      </c>
      <c r="K163" s="4">
        <f t="shared" si="29"/>
        <v>3.3901319080185</v>
      </c>
      <c r="L163" s="4">
        <f t="shared" si="29"/>
        <v>3.21332984104189</v>
      </c>
      <c r="M163" s="4">
        <f t="shared" si="29"/>
        <v>3.19187156619659</v>
      </c>
      <c r="N163" s="4">
        <f t="shared" si="29"/>
        <v>3.04700401870202</v>
      </c>
      <c r="O163" s="4">
        <f t="shared" si="29"/>
        <v>2.89678841847786</v>
      </c>
      <c r="P163" s="4">
        <f t="shared" si="29"/>
        <v>2.71920248940854</v>
      </c>
      <c r="Q163" s="4">
        <f t="shared" si="29"/>
        <v>2.37252104305023</v>
      </c>
      <c r="R163" s="4">
        <f t="shared" si="29"/>
        <v>1.90483676396951</v>
      </c>
      <c r="S163" s="4">
        <f t="shared" si="28"/>
        <v>1.75569132593048</v>
      </c>
      <c r="T163" s="4">
        <f t="shared" si="28"/>
        <v>1.43149112722021</v>
      </c>
      <c r="U163" s="4">
        <f t="shared" si="28"/>
        <v>1.10477224866928</v>
      </c>
      <c r="V163" s="4">
        <f t="shared" si="28"/>
        <v>1.04180460479367</v>
      </c>
      <c r="W163" s="4">
        <f t="shared" si="28"/>
        <v>0.851810236799714</v>
      </c>
      <c r="X163" s="4">
        <f t="shared" si="28"/>
        <v>0.755398827404905</v>
      </c>
      <c r="Y163" s="4">
        <f t="shared" si="28"/>
        <v>0.655114794100468</v>
      </c>
      <c r="Z163" s="4">
        <f t="shared" si="28"/>
        <v>0.6394443273628</v>
      </c>
      <c r="AA163" s="4">
        <f t="shared" si="28"/>
        <v>0.590816166211144</v>
      </c>
      <c r="AB163" s="4">
        <f t="shared" si="28"/>
        <v>0.519808720999557</v>
      </c>
      <c r="AC163" s="4">
        <f t="shared" si="28"/>
        <v>0.461651432067727</v>
      </c>
      <c r="AD163" s="4">
        <f t="shared" si="28"/>
        <v>0.452032685602008</v>
      </c>
      <c r="AE163" s="4">
        <f t="shared" si="28"/>
        <v>0.412806298383695</v>
      </c>
      <c r="AF163" s="4">
        <f t="shared" si="28"/>
        <v>0.389928712520432</v>
      </c>
      <c r="AG163" s="4">
        <f t="shared" si="28"/>
        <v>0.372772161516836</v>
      </c>
      <c r="AH163" s="4">
        <f t="shared" si="27"/>
        <v>0.308482573475131</v>
      </c>
      <c r="AI163" s="4">
        <f t="shared" si="27"/>
        <v>0.272204358411638</v>
      </c>
      <c r="AJ163" s="4">
        <f t="shared" si="27"/>
        <v>0.254907408174699</v>
      </c>
    </row>
    <row r="164" spans="1:36">
      <c r="A164" t="str">
        <f>"semis_procurement_archetype_"&amp;TEXT(ROUND(Table26916[[#This Row],[2016]],3),"0.0")</f>
        <v>semis_procurement_archetype_4.1</v>
      </c>
      <c r="B164" s="4">
        <f t="shared" si="24"/>
        <v>4.1</v>
      </c>
      <c r="C164" s="4">
        <f t="shared" si="29"/>
        <v>4.1</v>
      </c>
      <c r="D164" s="4">
        <f t="shared" si="29"/>
        <v>4.1</v>
      </c>
      <c r="E164" s="4">
        <f t="shared" si="29"/>
        <v>4.00680464059702</v>
      </c>
      <c r="F164" s="4">
        <f t="shared" si="29"/>
        <v>3.78149942397097</v>
      </c>
      <c r="G164" s="4">
        <f t="shared" si="29"/>
        <v>3.81299764397899</v>
      </c>
      <c r="H164" s="4">
        <f t="shared" si="29"/>
        <v>3.71520164943933</v>
      </c>
      <c r="I164" s="4">
        <f t="shared" si="29"/>
        <v>3.52602205298466</v>
      </c>
      <c r="J164" s="4">
        <f t="shared" si="29"/>
        <v>3.41975044954393</v>
      </c>
      <c r="K164" s="4">
        <f t="shared" si="29"/>
        <v>3.31066040191645</v>
      </c>
      <c r="L164" s="4">
        <f t="shared" si="29"/>
        <v>3.13833990445593</v>
      </c>
      <c r="M164" s="4">
        <f t="shared" si="29"/>
        <v>3.11742555283539</v>
      </c>
      <c r="N164" s="4">
        <f t="shared" si="29"/>
        <v>2.97623010033283</v>
      </c>
      <c r="O164" s="4">
        <f t="shared" si="29"/>
        <v>2.82982215726063</v>
      </c>
      <c r="P164" s="4">
        <f t="shared" si="29"/>
        <v>2.6567376670026</v>
      </c>
      <c r="Q164" s="4">
        <f t="shared" si="29"/>
        <v>2.31884388375456</v>
      </c>
      <c r="R164" s="4">
        <f t="shared" si="29"/>
        <v>1.86301444123838</v>
      </c>
      <c r="S164" s="4">
        <f t="shared" si="28"/>
        <v>1.71764953393641</v>
      </c>
      <c r="T164" s="4">
        <f t="shared" si="28"/>
        <v>1.40166714485074</v>
      </c>
      <c r="U164" s="4">
        <f t="shared" si="28"/>
        <v>1.08322991928884</v>
      </c>
      <c r="V164" s="4">
        <f t="shared" si="28"/>
        <v>1.02185837594598</v>
      </c>
      <c r="W164" s="4">
        <f t="shared" si="28"/>
        <v>0.836679975222029</v>
      </c>
      <c r="X164" s="4">
        <f t="shared" si="28"/>
        <v>0.7427123971734</v>
      </c>
      <c r="Y164" s="4">
        <f t="shared" si="28"/>
        <v>0.644970358282788</v>
      </c>
      <c r="Z164" s="4">
        <f t="shared" si="28"/>
        <v>0.629697105713684</v>
      </c>
      <c r="AA164" s="4">
        <f t="shared" si="28"/>
        <v>0.582301568639151</v>
      </c>
      <c r="AB164" s="4">
        <f t="shared" si="28"/>
        <v>0.513094016422692</v>
      </c>
      <c r="AC164" s="4">
        <f t="shared" si="28"/>
        <v>0.456410895398919</v>
      </c>
      <c r="AD164" s="4">
        <f t="shared" si="28"/>
        <v>0.447035964413873</v>
      </c>
      <c r="AE164" s="4">
        <f t="shared" si="28"/>
        <v>0.408803885600376</v>
      </c>
      <c r="AF164" s="4">
        <f t="shared" si="28"/>
        <v>0.38650619958308</v>
      </c>
      <c r="AG164" s="4">
        <f t="shared" si="28"/>
        <v>0.369784531934038</v>
      </c>
      <c r="AH164" s="4">
        <f t="shared" si="27"/>
        <v>0.307124552996437</v>
      </c>
      <c r="AI164" s="4">
        <f t="shared" si="27"/>
        <v>0.271765916224685</v>
      </c>
      <c r="AJ164" s="4">
        <f t="shared" si="27"/>
        <v>0.254907408174699</v>
      </c>
    </row>
    <row r="165" spans="1:36">
      <c r="A165" t="str">
        <f>"semis_procurement_archetype_"&amp;TEXT(ROUND(Table26916[[#This Row],[2016]],3),"0.0")</f>
        <v>semis_procurement_archetype_4.0</v>
      </c>
      <c r="B165" s="4">
        <f t="shared" si="24"/>
        <v>4</v>
      </c>
      <c r="C165" s="4">
        <f t="shared" si="29"/>
        <v>4</v>
      </c>
      <c r="D165" s="4">
        <f t="shared" si="29"/>
        <v>4</v>
      </c>
      <c r="E165" s="4">
        <f t="shared" si="29"/>
        <v>3.90922838871692</v>
      </c>
      <c r="F165" s="4">
        <f t="shared" si="29"/>
        <v>3.68978272452675</v>
      </c>
      <c r="G165" s="4">
        <f t="shared" si="29"/>
        <v>3.72046176478147</v>
      </c>
      <c r="H165" s="4">
        <f t="shared" si="29"/>
        <v>3.6252091678897</v>
      </c>
      <c r="I165" s="4">
        <f t="shared" si="29"/>
        <v>3.44094959850686</v>
      </c>
      <c r="J165" s="4">
        <f t="shared" si="29"/>
        <v>3.33744181936691</v>
      </c>
      <c r="K165" s="4">
        <f t="shared" si="29"/>
        <v>3.23118889581441</v>
      </c>
      <c r="L165" s="4">
        <f t="shared" si="29"/>
        <v>3.06334996786997</v>
      </c>
      <c r="M165" s="4">
        <f t="shared" si="29"/>
        <v>3.0429795394742</v>
      </c>
      <c r="N165" s="4">
        <f t="shared" si="29"/>
        <v>2.90545618196364</v>
      </c>
      <c r="O165" s="4">
        <f t="shared" si="29"/>
        <v>2.76285589604341</v>
      </c>
      <c r="P165" s="4">
        <f t="shared" si="29"/>
        <v>2.59427284459665</v>
      </c>
      <c r="Q165" s="4">
        <f t="shared" si="29"/>
        <v>2.2651667244589</v>
      </c>
      <c r="R165" s="4">
        <f t="shared" si="29"/>
        <v>1.82119211850726</v>
      </c>
      <c r="S165" s="4">
        <f t="shared" si="28"/>
        <v>1.67960774194233</v>
      </c>
      <c r="T165" s="4">
        <f t="shared" si="28"/>
        <v>1.37184316248126</v>
      </c>
      <c r="U165" s="4">
        <f t="shared" si="28"/>
        <v>1.06168758990839</v>
      </c>
      <c r="V165" s="4">
        <f t="shared" si="28"/>
        <v>1.00191214709828</v>
      </c>
      <c r="W165" s="4">
        <f t="shared" si="28"/>
        <v>0.821549713644345</v>
      </c>
      <c r="X165" s="4">
        <f t="shared" si="28"/>
        <v>0.730025966941894</v>
      </c>
      <c r="Y165" s="4">
        <f t="shared" si="28"/>
        <v>0.634825922465108</v>
      </c>
      <c r="Z165" s="4">
        <f t="shared" si="28"/>
        <v>0.619949884064567</v>
      </c>
      <c r="AA165" s="4">
        <f t="shared" si="28"/>
        <v>0.573786971067157</v>
      </c>
      <c r="AB165" s="4">
        <f t="shared" si="28"/>
        <v>0.506379311845827</v>
      </c>
      <c r="AC165" s="4">
        <f t="shared" si="28"/>
        <v>0.451170358730111</v>
      </c>
      <c r="AD165" s="4">
        <f t="shared" si="28"/>
        <v>0.442039243225737</v>
      </c>
      <c r="AE165" s="4">
        <f t="shared" si="28"/>
        <v>0.404801472817057</v>
      </c>
      <c r="AF165" s="4">
        <f t="shared" si="28"/>
        <v>0.383083686645728</v>
      </c>
      <c r="AG165" s="4">
        <f t="shared" si="28"/>
        <v>0.36679690235124</v>
      </c>
      <c r="AH165" s="4">
        <f t="shared" si="27"/>
        <v>0.305766532517743</v>
      </c>
      <c r="AI165" s="4">
        <f t="shared" si="27"/>
        <v>0.271327474037731</v>
      </c>
      <c r="AJ165" s="4">
        <f t="shared" si="27"/>
        <v>0.254907408174699</v>
      </c>
    </row>
    <row r="166" spans="1:36">
      <c r="A166" t="str">
        <f>"semis_procurement_archetype_"&amp;TEXT(ROUND(Table26916[[#This Row],[2016]],3),"0.0")</f>
        <v>semis_procurement_archetype_3.9</v>
      </c>
      <c r="B166" s="4">
        <f t="shared" si="24"/>
        <v>3.9</v>
      </c>
      <c r="C166" s="4">
        <f t="shared" si="29"/>
        <v>3.9</v>
      </c>
      <c r="D166" s="4">
        <f t="shared" si="29"/>
        <v>3.9</v>
      </c>
      <c r="E166" s="4">
        <f t="shared" si="29"/>
        <v>3.81165213683683</v>
      </c>
      <c r="F166" s="4">
        <f t="shared" si="29"/>
        <v>3.59806602508254</v>
      </c>
      <c r="G166" s="4">
        <f t="shared" si="29"/>
        <v>3.62792588558395</v>
      </c>
      <c r="H166" s="4">
        <f t="shared" si="29"/>
        <v>3.53521668634007</v>
      </c>
      <c r="I166" s="4">
        <f t="shared" si="29"/>
        <v>3.35587714402905</v>
      </c>
      <c r="J166" s="4">
        <f t="shared" si="29"/>
        <v>3.2551331891899</v>
      </c>
      <c r="K166" s="4">
        <f t="shared" si="29"/>
        <v>3.15171738971236</v>
      </c>
      <c r="L166" s="4">
        <f t="shared" si="29"/>
        <v>2.98836003128401</v>
      </c>
      <c r="M166" s="4">
        <f t="shared" si="29"/>
        <v>2.968533526113</v>
      </c>
      <c r="N166" s="4">
        <f t="shared" si="29"/>
        <v>2.83468226359446</v>
      </c>
      <c r="O166" s="4">
        <f t="shared" si="29"/>
        <v>2.69588963482618</v>
      </c>
      <c r="P166" s="4">
        <f t="shared" si="29"/>
        <v>2.5318080221907</v>
      </c>
      <c r="Q166" s="4">
        <f t="shared" si="29"/>
        <v>2.21148956516324</v>
      </c>
      <c r="R166" s="4">
        <f t="shared" si="29"/>
        <v>1.77936979577614</v>
      </c>
      <c r="S166" s="4">
        <f t="shared" si="28"/>
        <v>1.64156594994826</v>
      </c>
      <c r="T166" s="4">
        <f t="shared" si="28"/>
        <v>1.34201918011178</v>
      </c>
      <c r="U166" s="4">
        <f t="shared" si="28"/>
        <v>1.04014526052794</v>
      </c>
      <c r="V166" s="4">
        <f t="shared" si="28"/>
        <v>0.981965918250586</v>
      </c>
      <c r="W166" s="4">
        <f t="shared" si="28"/>
        <v>0.806419452066661</v>
      </c>
      <c r="X166" s="4">
        <f t="shared" si="28"/>
        <v>0.717339536710389</v>
      </c>
      <c r="Y166" s="4">
        <f t="shared" si="28"/>
        <v>0.624681486647428</v>
      </c>
      <c r="Z166" s="4">
        <f t="shared" si="28"/>
        <v>0.61020266241545</v>
      </c>
      <c r="AA166" s="4">
        <f t="shared" si="28"/>
        <v>0.565272373495164</v>
      </c>
      <c r="AB166" s="4">
        <f t="shared" si="28"/>
        <v>0.499664607268962</v>
      </c>
      <c r="AC166" s="4">
        <f t="shared" si="28"/>
        <v>0.445929822061303</v>
      </c>
      <c r="AD166" s="4">
        <f t="shared" si="28"/>
        <v>0.437042522037601</v>
      </c>
      <c r="AE166" s="4">
        <f t="shared" si="28"/>
        <v>0.400799060033737</v>
      </c>
      <c r="AF166" s="4">
        <f t="shared" si="28"/>
        <v>0.379661173708376</v>
      </c>
      <c r="AG166" s="4">
        <f t="shared" si="28"/>
        <v>0.363809272768442</v>
      </c>
      <c r="AH166" s="4">
        <f t="shared" si="27"/>
        <v>0.304408512039049</v>
      </c>
      <c r="AI166" s="4">
        <f t="shared" si="27"/>
        <v>0.270889031850778</v>
      </c>
      <c r="AJ166" s="4">
        <f t="shared" si="27"/>
        <v>0.254907408174699</v>
      </c>
    </row>
    <row r="167" spans="1:36">
      <c r="A167" t="str">
        <f>"semis_procurement_archetype_"&amp;TEXT(ROUND(Table26916[[#This Row],[2016]],3),"0.0")</f>
        <v>semis_procurement_archetype_3.8</v>
      </c>
      <c r="B167" s="4">
        <f t="shared" si="24"/>
        <v>3.8</v>
      </c>
      <c r="C167" s="4">
        <f t="shared" si="29"/>
        <v>3.8</v>
      </c>
      <c r="D167" s="4">
        <f t="shared" si="29"/>
        <v>3.8</v>
      </c>
      <c r="E167" s="4">
        <f t="shared" si="29"/>
        <v>3.71407588495673</v>
      </c>
      <c r="F167" s="4">
        <f t="shared" si="29"/>
        <v>3.50634932563832</v>
      </c>
      <c r="G167" s="4">
        <f t="shared" si="29"/>
        <v>3.53539000638643</v>
      </c>
      <c r="H167" s="4">
        <f t="shared" si="29"/>
        <v>3.44522420479043</v>
      </c>
      <c r="I167" s="4">
        <f t="shared" si="29"/>
        <v>3.27080468955125</v>
      </c>
      <c r="J167" s="4">
        <f t="shared" si="29"/>
        <v>3.17282455901288</v>
      </c>
      <c r="K167" s="4">
        <f t="shared" si="29"/>
        <v>3.07224588361032</v>
      </c>
      <c r="L167" s="4">
        <f t="shared" si="29"/>
        <v>2.91337009469805</v>
      </c>
      <c r="M167" s="4">
        <f t="shared" si="29"/>
        <v>2.8940875127518</v>
      </c>
      <c r="N167" s="4">
        <f t="shared" si="29"/>
        <v>2.76390834522527</v>
      </c>
      <c r="O167" s="4">
        <f t="shared" si="29"/>
        <v>2.62892337360895</v>
      </c>
      <c r="P167" s="4">
        <f t="shared" si="29"/>
        <v>2.46934319978476</v>
      </c>
      <c r="Q167" s="4">
        <f t="shared" si="29"/>
        <v>2.15781240586757</v>
      </c>
      <c r="R167" s="4">
        <f t="shared" si="29"/>
        <v>1.73754747304501</v>
      </c>
      <c r="S167" s="4">
        <f t="shared" si="28"/>
        <v>1.60352415795419</v>
      </c>
      <c r="T167" s="4">
        <f t="shared" si="28"/>
        <v>1.3121951977423</v>
      </c>
      <c r="U167" s="4">
        <f t="shared" si="28"/>
        <v>1.0186029311475</v>
      </c>
      <c r="V167" s="4">
        <f t="shared" si="28"/>
        <v>0.96201968940289</v>
      </c>
      <c r="W167" s="4">
        <f t="shared" si="28"/>
        <v>0.791289190488976</v>
      </c>
      <c r="X167" s="4">
        <f t="shared" si="28"/>
        <v>0.704653106478884</v>
      </c>
      <c r="Y167" s="4">
        <f t="shared" si="28"/>
        <v>0.614537050829748</v>
      </c>
      <c r="Z167" s="4">
        <f t="shared" si="28"/>
        <v>0.600455440766333</v>
      </c>
      <c r="AA167" s="4">
        <f t="shared" si="28"/>
        <v>0.556757775923171</v>
      </c>
      <c r="AB167" s="4">
        <f t="shared" si="28"/>
        <v>0.492949902692097</v>
      </c>
      <c r="AC167" s="4">
        <f t="shared" si="28"/>
        <v>0.440689285392495</v>
      </c>
      <c r="AD167" s="4">
        <f t="shared" si="28"/>
        <v>0.432045800849465</v>
      </c>
      <c r="AE167" s="4">
        <f t="shared" si="28"/>
        <v>0.396796647250418</v>
      </c>
      <c r="AF167" s="4">
        <f t="shared" si="28"/>
        <v>0.376238660771024</v>
      </c>
      <c r="AG167" s="4">
        <f t="shared" si="28"/>
        <v>0.360821643185644</v>
      </c>
      <c r="AH167" s="4">
        <f t="shared" si="27"/>
        <v>0.303050491560355</v>
      </c>
      <c r="AI167" s="4">
        <f t="shared" si="27"/>
        <v>0.270450589663824</v>
      </c>
      <c r="AJ167" s="4">
        <f t="shared" si="27"/>
        <v>0.254907408174699</v>
      </c>
    </row>
    <row r="168" spans="1:36">
      <c r="A168" t="str">
        <f>"semis_procurement_archetype_"&amp;TEXT(ROUND(Table26916[[#This Row],[2016]],3),"0.0")</f>
        <v>semis_procurement_archetype_3.7</v>
      </c>
      <c r="B168" s="4">
        <f t="shared" si="24"/>
        <v>3.7</v>
      </c>
      <c r="C168" s="4">
        <f t="shared" si="29"/>
        <v>3.7</v>
      </c>
      <c r="D168" s="4">
        <f t="shared" si="29"/>
        <v>3.7</v>
      </c>
      <c r="E168" s="4">
        <f t="shared" si="29"/>
        <v>3.61649963307664</v>
      </c>
      <c r="F168" s="4">
        <f t="shared" si="29"/>
        <v>3.4146326261941</v>
      </c>
      <c r="G168" s="4">
        <f t="shared" si="29"/>
        <v>3.44285412718891</v>
      </c>
      <c r="H168" s="4">
        <f t="shared" si="29"/>
        <v>3.3552317232408</v>
      </c>
      <c r="I168" s="4">
        <f t="shared" si="29"/>
        <v>3.18573223507345</v>
      </c>
      <c r="J168" s="4">
        <f t="shared" si="29"/>
        <v>3.09051592883587</v>
      </c>
      <c r="K168" s="4">
        <f t="shared" si="29"/>
        <v>2.99277437750827</v>
      </c>
      <c r="L168" s="4">
        <f t="shared" si="29"/>
        <v>2.83838015811209</v>
      </c>
      <c r="M168" s="4">
        <f t="shared" si="29"/>
        <v>2.8196414993906</v>
      </c>
      <c r="N168" s="4">
        <f t="shared" si="29"/>
        <v>2.69313442685608</v>
      </c>
      <c r="O168" s="4">
        <f t="shared" si="29"/>
        <v>2.56195711239173</v>
      </c>
      <c r="P168" s="4">
        <f t="shared" si="29"/>
        <v>2.40687837737881</v>
      </c>
      <c r="Q168" s="4">
        <f t="shared" si="29"/>
        <v>2.10413524657191</v>
      </c>
      <c r="R168" s="4">
        <f t="shared" si="29"/>
        <v>1.69572515031389</v>
      </c>
      <c r="S168" s="4">
        <f t="shared" si="28"/>
        <v>1.56548236596011</v>
      </c>
      <c r="T168" s="4">
        <f t="shared" si="28"/>
        <v>1.28237121537283</v>
      </c>
      <c r="U168" s="4">
        <f t="shared" si="28"/>
        <v>0.997060601767052</v>
      </c>
      <c r="V168" s="4">
        <f t="shared" si="28"/>
        <v>0.942073460555194</v>
      </c>
      <c r="W168" s="4">
        <f t="shared" si="28"/>
        <v>0.776158928911292</v>
      </c>
      <c r="X168" s="4">
        <f t="shared" si="28"/>
        <v>0.691966676247378</v>
      </c>
      <c r="Y168" s="4">
        <f t="shared" si="28"/>
        <v>0.604392615012068</v>
      </c>
      <c r="Z168" s="4">
        <f t="shared" si="28"/>
        <v>0.590708219117216</v>
      </c>
      <c r="AA168" s="4">
        <f t="shared" si="28"/>
        <v>0.548243178351178</v>
      </c>
      <c r="AB168" s="4">
        <f t="shared" si="28"/>
        <v>0.486235198115232</v>
      </c>
      <c r="AC168" s="4">
        <f t="shared" si="28"/>
        <v>0.435448748723687</v>
      </c>
      <c r="AD168" s="4">
        <f t="shared" si="28"/>
        <v>0.42704907966133</v>
      </c>
      <c r="AE168" s="4">
        <f t="shared" si="28"/>
        <v>0.392794234467099</v>
      </c>
      <c r="AF168" s="4">
        <f t="shared" si="28"/>
        <v>0.372816147833672</v>
      </c>
      <c r="AG168" s="4">
        <f t="shared" si="28"/>
        <v>0.357834013602847</v>
      </c>
      <c r="AH168" s="4">
        <f t="shared" si="27"/>
        <v>0.301692471081661</v>
      </c>
      <c r="AI168" s="4">
        <f t="shared" si="27"/>
        <v>0.270012147476871</v>
      </c>
      <c r="AJ168" s="4">
        <f t="shared" si="27"/>
        <v>0.254907408174699</v>
      </c>
    </row>
    <row r="169" spans="1:36">
      <c r="A169" t="str">
        <f>"semis_procurement_archetype_"&amp;TEXT(ROUND(Table26916[[#This Row],[2016]],3),"0.0")</f>
        <v>semis_procurement_archetype_3.6</v>
      </c>
      <c r="B169" s="4">
        <f t="shared" si="24"/>
        <v>3.6</v>
      </c>
      <c r="C169" s="4">
        <f t="shared" si="29"/>
        <v>3.6</v>
      </c>
      <c r="D169" s="4">
        <f t="shared" si="29"/>
        <v>3.6</v>
      </c>
      <c r="E169" s="4">
        <f t="shared" si="29"/>
        <v>3.51892338119654</v>
      </c>
      <c r="F169" s="4">
        <f t="shared" si="29"/>
        <v>3.32291592674988</v>
      </c>
      <c r="G169" s="4">
        <f t="shared" si="29"/>
        <v>3.35031824799139</v>
      </c>
      <c r="H169" s="4">
        <f t="shared" si="29"/>
        <v>3.26523924169117</v>
      </c>
      <c r="I169" s="4">
        <f t="shared" si="29"/>
        <v>3.10065978059564</v>
      </c>
      <c r="J169" s="4">
        <f t="shared" si="29"/>
        <v>3.00820729865886</v>
      </c>
      <c r="K169" s="4">
        <f t="shared" si="29"/>
        <v>2.91330287140622</v>
      </c>
      <c r="L169" s="4">
        <f t="shared" si="29"/>
        <v>2.76339022152613</v>
      </c>
      <c r="M169" s="4">
        <f t="shared" si="29"/>
        <v>2.7451954860294</v>
      </c>
      <c r="N169" s="4">
        <f t="shared" si="29"/>
        <v>2.62236050848689</v>
      </c>
      <c r="O169" s="4">
        <f t="shared" si="29"/>
        <v>2.4949908511745</v>
      </c>
      <c r="P169" s="4">
        <f t="shared" si="29"/>
        <v>2.34441355497286</v>
      </c>
      <c r="Q169" s="4">
        <f t="shared" si="29"/>
        <v>2.05045808727624</v>
      </c>
      <c r="R169" s="4">
        <f t="shared" si="29"/>
        <v>1.65390282758277</v>
      </c>
      <c r="S169" s="4">
        <f t="shared" si="28"/>
        <v>1.52744057396604</v>
      </c>
      <c r="T169" s="4">
        <f t="shared" si="28"/>
        <v>1.25254723300335</v>
      </c>
      <c r="U169" s="4">
        <f t="shared" si="28"/>
        <v>0.975518272386606</v>
      </c>
      <c r="V169" s="4">
        <f t="shared" si="28"/>
        <v>0.922127231707498</v>
      </c>
      <c r="W169" s="4">
        <f t="shared" si="28"/>
        <v>0.761028667333608</v>
      </c>
      <c r="X169" s="4">
        <f t="shared" si="28"/>
        <v>0.679280246015873</v>
      </c>
      <c r="Y169" s="4">
        <f t="shared" si="28"/>
        <v>0.594248179194388</v>
      </c>
      <c r="Z169" s="4">
        <f t="shared" si="28"/>
        <v>0.580960997468099</v>
      </c>
      <c r="AA169" s="4">
        <f t="shared" si="28"/>
        <v>0.539728580779184</v>
      </c>
      <c r="AB169" s="4">
        <f t="shared" si="28"/>
        <v>0.479520493538367</v>
      </c>
      <c r="AC169" s="4">
        <f t="shared" si="28"/>
        <v>0.430208212054879</v>
      </c>
      <c r="AD169" s="4">
        <f t="shared" si="28"/>
        <v>0.422052358473194</v>
      </c>
      <c r="AE169" s="4">
        <f t="shared" si="28"/>
        <v>0.38879182168378</v>
      </c>
      <c r="AF169" s="4">
        <f t="shared" si="28"/>
        <v>0.36939363489632</v>
      </c>
      <c r="AG169" s="4">
        <f t="shared" si="28"/>
        <v>0.354846384020049</v>
      </c>
      <c r="AH169" s="4">
        <f t="shared" si="27"/>
        <v>0.300334450602967</v>
      </c>
      <c r="AI169" s="4">
        <f t="shared" si="27"/>
        <v>0.269573705289917</v>
      </c>
      <c r="AJ169" s="4">
        <f t="shared" si="27"/>
        <v>0.254907408174699</v>
      </c>
    </row>
    <row r="170" spans="1:36">
      <c r="A170" t="str">
        <f>"semis_procurement_archetype_"&amp;TEXT(ROUND(Table26916[[#This Row],[2016]],3),"0.0")</f>
        <v>semis_procurement_archetype_3.5</v>
      </c>
      <c r="B170" s="4">
        <f t="shared" si="24"/>
        <v>3.5</v>
      </c>
      <c r="C170" s="4">
        <f t="shared" si="29"/>
        <v>3.5</v>
      </c>
      <c r="D170" s="4">
        <f t="shared" si="29"/>
        <v>3.5</v>
      </c>
      <c r="E170" s="4">
        <f t="shared" si="29"/>
        <v>3.42134712931645</v>
      </c>
      <c r="F170" s="4">
        <f t="shared" si="29"/>
        <v>3.23119922730567</v>
      </c>
      <c r="G170" s="4">
        <f t="shared" si="29"/>
        <v>3.25778236879387</v>
      </c>
      <c r="H170" s="4">
        <f t="shared" si="29"/>
        <v>3.17524676014154</v>
      </c>
      <c r="I170" s="4">
        <f t="shared" si="29"/>
        <v>3.01558732611784</v>
      </c>
      <c r="J170" s="4">
        <f t="shared" si="29"/>
        <v>2.92589866848184</v>
      </c>
      <c r="K170" s="4">
        <f t="shared" si="29"/>
        <v>2.83383136530418</v>
      </c>
      <c r="L170" s="4">
        <f t="shared" si="29"/>
        <v>2.68840028494017</v>
      </c>
      <c r="M170" s="4">
        <f t="shared" si="29"/>
        <v>2.67074947266821</v>
      </c>
      <c r="N170" s="4">
        <f t="shared" si="29"/>
        <v>2.55158659011771</v>
      </c>
      <c r="O170" s="4">
        <f t="shared" si="29"/>
        <v>2.42802458995728</v>
      </c>
      <c r="P170" s="4">
        <f t="shared" si="29"/>
        <v>2.28194873256692</v>
      </c>
      <c r="Q170" s="4">
        <f t="shared" si="29"/>
        <v>1.99678092798058</v>
      </c>
      <c r="R170" s="4">
        <f t="shared" si="29"/>
        <v>1.61208050485164</v>
      </c>
      <c r="S170" s="4">
        <f t="shared" si="28"/>
        <v>1.48939878197197</v>
      </c>
      <c r="T170" s="4">
        <f t="shared" si="28"/>
        <v>1.22272325063387</v>
      </c>
      <c r="U170" s="4">
        <f t="shared" si="28"/>
        <v>0.95397594300616</v>
      </c>
      <c r="V170" s="4">
        <f t="shared" si="28"/>
        <v>0.902181002859802</v>
      </c>
      <c r="W170" s="4">
        <f t="shared" si="28"/>
        <v>0.745898405755923</v>
      </c>
      <c r="X170" s="4">
        <f t="shared" si="28"/>
        <v>0.666593815784367</v>
      </c>
      <c r="Y170" s="4">
        <f t="shared" si="28"/>
        <v>0.584103743376708</v>
      </c>
      <c r="Z170" s="4">
        <f t="shared" si="28"/>
        <v>0.571213775818982</v>
      </c>
      <c r="AA170" s="4">
        <f t="shared" si="28"/>
        <v>0.531213983207191</v>
      </c>
      <c r="AB170" s="4">
        <f t="shared" si="28"/>
        <v>0.472805788961501</v>
      </c>
      <c r="AC170" s="4">
        <f t="shared" si="28"/>
        <v>0.424967675386072</v>
      </c>
      <c r="AD170" s="4">
        <f t="shared" si="28"/>
        <v>0.417055637285058</v>
      </c>
      <c r="AE170" s="4">
        <f t="shared" si="28"/>
        <v>0.38478940890046</v>
      </c>
      <c r="AF170" s="4">
        <f t="shared" si="28"/>
        <v>0.365971121958968</v>
      </c>
      <c r="AG170" s="4">
        <f t="shared" si="28"/>
        <v>0.351858754437251</v>
      </c>
      <c r="AH170" s="4">
        <f t="shared" si="27"/>
        <v>0.298976430124273</v>
      </c>
      <c r="AI170" s="4">
        <f t="shared" si="27"/>
        <v>0.269135263102964</v>
      </c>
      <c r="AJ170" s="4">
        <f t="shared" si="27"/>
        <v>0.254907408174699</v>
      </c>
    </row>
    <row r="171" spans="1:36">
      <c r="A171" t="str">
        <f>"semis_procurement_archetype_"&amp;TEXT(ROUND(Table26916[[#This Row],[2016]],3),"0.0")</f>
        <v>semis_procurement_archetype_3.4</v>
      </c>
      <c r="B171" s="4">
        <f t="shared" si="24"/>
        <v>3.4</v>
      </c>
      <c r="C171" s="4">
        <f t="shared" si="29"/>
        <v>3.4</v>
      </c>
      <c r="D171" s="4">
        <f t="shared" si="29"/>
        <v>3.4</v>
      </c>
      <c r="E171" s="4">
        <f t="shared" si="29"/>
        <v>3.32377087743636</v>
      </c>
      <c r="F171" s="4">
        <f t="shared" si="29"/>
        <v>3.13948252786145</v>
      </c>
      <c r="G171" s="4">
        <f t="shared" si="29"/>
        <v>3.16524648959635</v>
      </c>
      <c r="H171" s="4">
        <f t="shared" si="29"/>
        <v>3.08525427859191</v>
      </c>
      <c r="I171" s="4">
        <f t="shared" si="29"/>
        <v>2.93051487164004</v>
      </c>
      <c r="J171" s="4">
        <f t="shared" si="29"/>
        <v>2.84359003830483</v>
      </c>
      <c r="K171" s="4">
        <f t="shared" si="29"/>
        <v>2.75435985920213</v>
      </c>
      <c r="L171" s="4">
        <f t="shared" si="29"/>
        <v>2.61341034835421</v>
      </c>
      <c r="M171" s="4">
        <f t="shared" si="29"/>
        <v>2.59630345930701</v>
      </c>
      <c r="N171" s="4">
        <f t="shared" si="29"/>
        <v>2.48081267174852</v>
      </c>
      <c r="O171" s="4">
        <f t="shared" si="29"/>
        <v>2.36105832874005</v>
      </c>
      <c r="P171" s="4">
        <f t="shared" si="29"/>
        <v>2.21948391016097</v>
      </c>
      <c r="Q171" s="4">
        <f t="shared" si="29"/>
        <v>1.94310376868491</v>
      </c>
      <c r="R171" s="4">
        <f t="shared" si="29"/>
        <v>1.57025818212052</v>
      </c>
      <c r="S171" s="4">
        <f t="shared" si="28"/>
        <v>1.45135698997789</v>
      </c>
      <c r="T171" s="4">
        <f t="shared" si="28"/>
        <v>1.1928992682644</v>
      </c>
      <c r="U171" s="4">
        <f t="shared" si="28"/>
        <v>0.932433613625714</v>
      </c>
      <c r="V171" s="4">
        <f t="shared" si="28"/>
        <v>0.882234774012106</v>
      </c>
      <c r="W171" s="4">
        <f t="shared" si="28"/>
        <v>0.730768144178239</v>
      </c>
      <c r="X171" s="4">
        <f t="shared" si="28"/>
        <v>0.653907385552862</v>
      </c>
      <c r="Y171" s="4">
        <f t="shared" si="28"/>
        <v>0.573959307559027</v>
      </c>
      <c r="Z171" s="4">
        <f t="shared" si="28"/>
        <v>0.561466554169865</v>
      </c>
      <c r="AA171" s="4">
        <f t="shared" si="28"/>
        <v>0.522699385635198</v>
      </c>
      <c r="AB171" s="4">
        <f t="shared" si="28"/>
        <v>0.466091084384636</v>
      </c>
      <c r="AC171" s="4">
        <f t="shared" si="28"/>
        <v>0.419727138717264</v>
      </c>
      <c r="AD171" s="4">
        <f t="shared" si="28"/>
        <v>0.412058916096922</v>
      </c>
      <c r="AE171" s="4">
        <f t="shared" si="28"/>
        <v>0.380786996117141</v>
      </c>
      <c r="AF171" s="4">
        <f t="shared" si="28"/>
        <v>0.362548609021616</v>
      </c>
      <c r="AG171" s="4">
        <f t="shared" si="28"/>
        <v>0.348871124854453</v>
      </c>
      <c r="AH171" s="4">
        <f t="shared" si="27"/>
        <v>0.297618409645578</v>
      </c>
      <c r="AI171" s="4">
        <f t="shared" si="27"/>
        <v>0.26869682091601</v>
      </c>
      <c r="AJ171" s="4">
        <f t="shared" si="27"/>
        <v>0.254907408174699</v>
      </c>
    </row>
    <row r="172" spans="1:36">
      <c r="A172" t="str">
        <f>"semis_procurement_archetype_"&amp;TEXT(ROUND(Table26916[[#This Row],[2016]],3),"0.0")</f>
        <v>semis_procurement_archetype_3.3</v>
      </c>
      <c r="B172" s="4">
        <f t="shared" si="24"/>
        <v>3.3</v>
      </c>
      <c r="C172" s="4">
        <f t="shared" si="29"/>
        <v>3.3</v>
      </c>
      <c r="D172" s="4">
        <f t="shared" si="29"/>
        <v>3.3</v>
      </c>
      <c r="E172" s="4">
        <f t="shared" si="29"/>
        <v>3.22619462555626</v>
      </c>
      <c r="F172" s="4">
        <f t="shared" si="29"/>
        <v>3.04776582841723</v>
      </c>
      <c r="G172" s="4">
        <f t="shared" si="29"/>
        <v>3.07271061039882</v>
      </c>
      <c r="H172" s="4">
        <f t="shared" si="29"/>
        <v>2.99526179704228</v>
      </c>
      <c r="I172" s="4">
        <f t="shared" si="29"/>
        <v>2.84544241716223</v>
      </c>
      <c r="J172" s="4">
        <f t="shared" si="29"/>
        <v>2.76128140812782</v>
      </c>
      <c r="K172" s="4">
        <f t="shared" si="29"/>
        <v>2.67488835310009</v>
      </c>
      <c r="L172" s="4">
        <f t="shared" si="29"/>
        <v>2.53842041176825</v>
      </c>
      <c r="M172" s="4">
        <f t="shared" si="29"/>
        <v>2.52185744594581</v>
      </c>
      <c r="N172" s="4">
        <f t="shared" si="29"/>
        <v>2.41003875337933</v>
      </c>
      <c r="O172" s="4">
        <f t="shared" si="29"/>
        <v>2.29409206752282</v>
      </c>
      <c r="P172" s="4">
        <f t="shared" si="29"/>
        <v>2.15701908775502</v>
      </c>
      <c r="Q172" s="4">
        <f t="shared" si="29"/>
        <v>1.88942660938925</v>
      </c>
      <c r="R172" s="4">
        <f t="shared" ref="R172:AG187" si="30">(($B172-$AJ$2)*((R$2-$AJ$2)/($B$2-$AJ$2)))+$AJ$2</f>
        <v>1.5284358593894</v>
      </c>
      <c r="S172" s="4">
        <f t="shared" si="30"/>
        <v>1.41331519798382</v>
      </c>
      <c r="T172" s="4">
        <f t="shared" si="30"/>
        <v>1.16307528589492</v>
      </c>
      <c r="U172" s="4">
        <f t="shared" si="30"/>
        <v>0.910891284245267</v>
      </c>
      <c r="V172" s="4">
        <f t="shared" si="30"/>
        <v>0.86228854516441</v>
      </c>
      <c r="W172" s="4">
        <f t="shared" si="30"/>
        <v>0.715637882600554</v>
      </c>
      <c r="X172" s="4">
        <f t="shared" si="30"/>
        <v>0.641220955321356</v>
      </c>
      <c r="Y172" s="4">
        <f t="shared" si="30"/>
        <v>0.563814871741347</v>
      </c>
      <c r="Z172" s="4">
        <f t="shared" si="30"/>
        <v>0.551719332520749</v>
      </c>
      <c r="AA172" s="4">
        <f t="shared" si="30"/>
        <v>0.514184788063204</v>
      </c>
      <c r="AB172" s="4">
        <f t="shared" si="30"/>
        <v>0.459376379807771</v>
      </c>
      <c r="AC172" s="4">
        <f t="shared" si="30"/>
        <v>0.414486602048456</v>
      </c>
      <c r="AD172" s="4">
        <f t="shared" si="30"/>
        <v>0.407062194908786</v>
      </c>
      <c r="AE172" s="4">
        <f t="shared" si="30"/>
        <v>0.376784583333822</v>
      </c>
      <c r="AF172" s="4">
        <f t="shared" si="30"/>
        <v>0.359126096084264</v>
      </c>
      <c r="AG172" s="4">
        <f t="shared" si="30"/>
        <v>0.345883495271656</v>
      </c>
      <c r="AH172" s="4">
        <f t="shared" si="27"/>
        <v>0.296260389166884</v>
      </c>
      <c r="AI172" s="4">
        <f t="shared" si="27"/>
        <v>0.268258378729057</v>
      </c>
      <c r="AJ172" s="4">
        <f t="shared" si="27"/>
        <v>0.254907408174699</v>
      </c>
    </row>
    <row r="173" spans="1:36">
      <c r="A173" t="str">
        <f>"semis_procurement_archetype_"&amp;TEXT(ROUND(Table26916[[#This Row],[2016]],3),"0.0")</f>
        <v>semis_procurement_archetype_3.2</v>
      </c>
      <c r="B173" s="4">
        <f t="shared" si="24"/>
        <v>3.2</v>
      </c>
      <c r="C173" s="4">
        <f t="shared" ref="C173:R188" si="31">(($B173-$AJ$2)*((C$2-$AJ$2)/($B$2-$AJ$2)))+$AJ$2</f>
        <v>3.2</v>
      </c>
      <c r="D173" s="4">
        <f t="shared" si="31"/>
        <v>3.2</v>
      </c>
      <c r="E173" s="4">
        <f t="shared" si="31"/>
        <v>3.12861837367617</v>
      </c>
      <c r="F173" s="4">
        <f t="shared" si="31"/>
        <v>2.95604912897302</v>
      </c>
      <c r="G173" s="4">
        <f t="shared" si="31"/>
        <v>2.9801747312013</v>
      </c>
      <c r="H173" s="4">
        <f t="shared" si="31"/>
        <v>2.90526931549265</v>
      </c>
      <c r="I173" s="4">
        <f t="shared" si="31"/>
        <v>2.76036996268443</v>
      </c>
      <c r="J173" s="4">
        <f t="shared" si="31"/>
        <v>2.6789727779508</v>
      </c>
      <c r="K173" s="4">
        <f t="shared" si="31"/>
        <v>2.59541684699804</v>
      </c>
      <c r="L173" s="4">
        <f t="shared" si="31"/>
        <v>2.46343047518229</v>
      </c>
      <c r="M173" s="4">
        <f t="shared" si="31"/>
        <v>2.44741143258461</v>
      </c>
      <c r="N173" s="4">
        <f t="shared" si="31"/>
        <v>2.33926483501014</v>
      </c>
      <c r="O173" s="4">
        <f t="shared" si="31"/>
        <v>2.2271258063056</v>
      </c>
      <c r="P173" s="4">
        <f t="shared" si="31"/>
        <v>2.09455426534907</v>
      </c>
      <c r="Q173" s="4">
        <f t="shared" si="31"/>
        <v>1.83574945009358</v>
      </c>
      <c r="R173" s="4">
        <f t="shared" si="31"/>
        <v>1.48661353665827</v>
      </c>
      <c r="S173" s="4">
        <f t="shared" si="30"/>
        <v>1.37527340598975</v>
      </c>
      <c r="T173" s="4">
        <f t="shared" si="30"/>
        <v>1.13325130352544</v>
      </c>
      <c r="U173" s="4">
        <f t="shared" si="30"/>
        <v>0.889348954864821</v>
      </c>
      <c r="V173" s="4">
        <f t="shared" si="30"/>
        <v>0.842342316316714</v>
      </c>
      <c r="W173" s="4">
        <f t="shared" si="30"/>
        <v>0.70050762102287</v>
      </c>
      <c r="X173" s="4">
        <f t="shared" si="30"/>
        <v>0.628534525089851</v>
      </c>
      <c r="Y173" s="4">
        <f t="shared" si="30"/>
        <v>0.553670435923667</v>
      </c>
      <c r="Z173" s="4">
        <f t="shared" si="30"/>
        <v>0.541972110871632</v>
      </c>
      <c r="AA173" s="4">
        <f t="shared" si="30"/>
        <v>0.505670190491211</v>
      </c>
      <c r="AB173" s="4">
        <f t="shared" si="30"/>
        <v>0.452661675230906</v>
      </c>
      <c r="AC173" s="4">
        <f t="shared" si="30"/>
        <v>0.409246065379648</v>
      </c>
      <c r="AD173" s="4">
        <f t="shared" si="30"/>
        <v>0.402065473720651</v>
      </c>
      <c r="AE173" s="4">
        <f t="shared" si="30"/>
        <v>0.372782170550503</v>
      </c>
      <c r="AF173" s="4">
        <f t="shared" si="30"/>
        <v>0.355703583146913</v>
      </c>
      <c r="AG173" s="4">
        <f t="shared" si="30"/>
        <v>0.342895865688858</v>
      </c>
      <c r="AH173" s="4">
        <f t="shared" si="27"/>
        <v>0.29490236868819</v>
      </c>
      <c r="AI173" s="4">
        <f t="shared" si="27"/>
        <v>0.267819936542103</v>
      </c>
      <c r="AJ173" s="4">
        <f t="shared" si="27"/>
        <v>0.254907408174699</v>
      </c>
    </row>
    <row r="174" spans="1:36">
      <c r="A174" t="str">
        <f>"semis_procurement_archetype_"&amp;TEXT(ROUND(Table26916[[#This Row],[2016]],3),"0.0")</f>
        <v>semis_procurement_archetype_3.1</v>
      </c>
      <c r="B174" s="4">
        <f t="shared" si="24"/>
        <v>3.1</v>
      </c>
      <c r="C174" s="4">
        <f t="shared" si="31"/>
        <v>3.1</v>
      </c>
      <c r="D174" s="4">
        <f t="shared" si="31"/>
        <v>3.1</v>
      </c>
      <c r="E174" s="4">
        <f t="shared" si="31"/>
        <v>3.03104212179607</v>
      </c>
      <c r="F174" s="4">
        <f t="shared" si="31"/>
        <v>2.8643324295288</v>
      </c>
      <c r="G174" s="4">
        <f t="shared" si="31"/>
        <v>2.88763885200378</v>
      </c>
      <c r="H174" s="4">
        <f t="shared" si="31"/>
        <v>2.81527683394301</v>
      </c>
      <c r="I174" s="4">
        <f t="shared" si="31"/>
        <v>2.67529750820663</v>
      </c>
      <c r="J174" s="4">
        <f t="shared" si="31"/>
        <v>2.59666414777379</v>
      </c>
      <c r="K174" s="4">
        <f t="shared" si="31"/>
        <v>2.515945340896</v>
      </c>
      <c r="L174" s="4">
        <f t="shared" si="31"/>
        <v>2.38844053859633</v>
      </c>
      <c r="M174" s="4">
        <f t="shared" si="31"/>
        <v>2.37296541922341</v>
      </c>
      <c r="N174" s="4">
        <f t="shared" si="31"/>
        <v>2.26849091664095</v>
      </c>
      <c r="O174" s="4">
        <f t="shared" si="31"/>
        <v>2.16015954508837</v>
      </c>
      <c r="P174" s="4">
        <f t="shared" si="31"/>
        <v>2.03208944294313</v>
      </c>
      <c r="Q174" s="4">
        <f t="shared" si="31"/>
        <v>1.78207229079792</v>
      </c>
      <c r="R174" s="4">
        <f t="shared" si="31"/>
        <v>1.44479121392715</v>
      </c>
      <c r="S174" s="4">
        <f t="shared" si="30"/>
        <v>1.33723161399567</v>
      </c>
      <c r="T174" s="4">
        <f t="shared" si="30"/>
        <v>1.10342732115597</v>
      </c>
      <c r="U174" s="4">
        <f t="shared" si="30"/>
        <v>0.867806625484375</v>
      </c>
      <c r="V174" s="4">
        <f t="shared" si="30"/>
        <v>0.822396087469018</v>
      </c>
      <c r="W174" s="4">
        <f t="shared" si="30"/>
        <v>0.685377359445186</v>
      </c>
      <c r="X174" s="4">
        <f t="shared" si="30"/>
        <v>0.615848094858346</v>
      </c>
      <c r="Y174" s="4">
        <f t="shared" si="30"/>
        <v>0.543526000105987</v>
      </c>
      <c r="Z174" s="4">
        <f t="shared" si="30"/>
        <v>0.532224889222515</v>
      </c>
      <c r="AA174" s="4">
        <f t="shared" si="30"/>
        <v>0.497155592919218</v>
      </c>
      <c r="AB174" s="4">
        <f t="shared" si="30"/>
        <v>0.445946970654041</v>
      </c>
      <c r="AC174" s="4">
        <f t="shared" si="30"/>
        <v>0.40400552871084</v>
      </c>
      <c r="AD174" s="4">
        <f t="shared" si="30"/>
        <v>0.397068752532515</v>
      </c>
      <c r="AE174" s="4">
        <f t="shared" si="30"/>
        <v>0.368779757767183</v>
      </c>
      <c r="AF174" s="4">
        <f t="shared" si="30"/>
        <v>0.352281070209561</v>
      </c>
      <c r="AG174" s="4">
        <f t="shared" si="30"/>
        <v>0.33990823610606</v>
      </c>
      <c r="AH174" s="4">
        <f t="shared" si="27"/>
        <v>0.293544348209496</v>
      </c>
      <c r="AI174" s="4">
        <f t="shared" si="27"/>
        <v>0.26738149435515</v>
      </c>
      <c r="AJ174" s="4">
        <f t="shared" si="27"/>
        <v>0.254907408174699</v>
      </c>
    </row>
    <row r="175" spans="1:36">
      <c r="A175" t="str">
        <f>"semis_procurement_archetype_"&amp;TEXT(ROUND(Table26916[[#This Row],[2016]],3),"0.0")</f>
        <v>semis_procurement_archetype_3.0</v>
      </c>
      <c r="B175" s="4">
        <f t="shared" si="24"/>
        <v>3</v>
      </c>
      <c r="C175" s="4">
        <f t="shared" si="31"/>
        <v>3</v>
      </c>
      <c r="D175" s="4">
        <f t="shared" si="31"/>
        <v>3</v>
      </c>
      <c r="E175" s="4">
        <f t="shared" si="31"/>
        <v>2.93346586991598</v>
      </c>
      <c r="F175" s="4">
        <f t="shared" si="31"/>
        <v>2.77261573008458</v>
      </c>
      <c r="G175" s="4">
        <f t="shared" si="31"/>
        <v>2.79510297280626</v>
      </c>
      <c r="H175" s="4">
        <f t="shared" si="31"/>
        <v>2.72528435239338</v>
      </c>
      <c r="I175" s="4">
        <f t="shared" si="31"/>
        <v>2.59022505372883</v>
      </c>
      <c r="J175" s="4">
        <f t="shared" si="31"/>
        <v>2.51435551759678</v>
      </c>
      <c r="K175" s="4">
        <f t="shared" si="31"/>
        <v>2.43647383479395</v>
      </c>
      <c r="L175" s="4">
        <f t="shared" si="31"/>
        <v>2.31345060201037</v>
      </c>
      <c r="M175" s="4">
        <f t="shared" si="31"/>
        <v>2.29851940586222</v>
      </c>
      <c r="N175" s="4">
        <f t="shared" si="31"/>
        <v>2.19771699827176</v>
      </c>
      <c r="O175" s="4">
        <f t="shared" si="31"/>
        <v>2.09319328387115</v>
      </c>
      <c r="P175" s="4">
        <f t="shared" si="31"/>
        <v>1.96962462053718</v>
      </c>
      <c r="Q175" s="4">
        <f t="shared" si="31"/>
        <v>1.72839513150225</v>
      </c>
      <c r="R175" s="4">
        <f t="shared" si="31"/>
        <v>1.40296889119603</v>
      </c>
      <c r="S175" s="4">
        <f t="shared" si="30"/>
        <v>1.2991898220016</v>
      </c>
      <c r="T175" s="4">
        <f t="shared" si="30"/>
        <v>1.07360333878649</v>
      </c>
      <c r="U175" s="4">
        <f t="shared" si="30"/>
        <v>0.846264296103929</v>
      </c>
      <c r="V175" s="4">
        <f t="shared" si="30"/>
        <v>0.802449858621322</v>
      </c>
      <c r="W175" s="4">
        <f t="shared" si="30"/>
        <v>0.670247097867501</v>
      </c>
      <c r="X175" s="4">
        <f t="shared" si="30"/>
        <v>0.60316166462684</v>
      </c>
      <c r="Y175" s="4">
        <f t="shared" si="30"/>
        <v>0.533381564288307</v>
      </c>
      <c r="Z175" s="4">
        <f t="shared" si="30"/>
        <v>0.522477667573398</v>
      </c>
      <c r="AA175" s="4">
        <f t="shared" si="30"/>
        <v>0.488640995347224</v>
      </c>
      <c r="AB175" s="4">
        <f t="shared" si="30"/>
        <v>0.439232266077176</v>
      </c>
      <c r="AC175" s="4">
        <f t="shared" si="30"/>
        <v>0.398764992042032</v>
      </c>
      <c r="AD175" s="4">
        <f t="shared" si="30"/>
        <v>0.392072031344379</v>
      </c>
      <c r="AE175" s="4">
        <f t="shared" si="30"/>
        <v>0.364777344983864</v>
      </c>
      <c r="AF175" s="4">
        <f t="shared" si="30"/>
        <v>0.348858557272209</v>
      </c>
      <c r="AG175" s="4">
        <f t="shared" si="30"/>
        <v>0.336920606523262</v>
      </c>
      <c r="AH175" s="4">
        <f t="shared" si="27"/>
        <v>0.292186327730802</v>
      </c>
      <c r="AI175" s="4">
        <f t="shared" si="27"/>
        <v>0.266943052168196</v>
      </c>
      <c r="AJ175" s="4">
        <f t="shared" si="27"/>
        <v>0.254907408174699</v>
      </c>
    </row>
    <row r="176" spans="1:36">
      <c r="A176" t="str">
        <f>"semis_procurement_archetype_"&amp;TEXT(ROUND(Table26916[[#This Row],[2016]],3),"0.0")</f>
        <v>semis_procurement_archetype_2.9</v>
      </c>
      <c r="B176" s="4">
        <f t="shared" si="24"/>
        <v>2.9</v>
      </c>
      <c r="C176" s="4">
        <f t="shared" si="31"/>
        <v>2.9</v>
      </c>
      <c r="D176" s="4">
        <f t="shared" si="31"/>
        <v>2.9</v>
      </c>
      <c r="E176" s="4">
        <f t="shared" si="31"/>
        <v>2.83588961803588</v>
      </c>
      <c r="F176" s="4">
        <f t="shared" si="31"/>
        <v>2.68089903064036</v>
      </c>
      <c r="G176" s="4">
        <f t="shared" si="31"/>
        <v>2.70256709360874</v>
      </c>
      <c r="H176" s="4">
        <f t="shared" si="31"/>
        <v>2.63529187084375</v>
      </c>
      <c r="I176" s="4">
        <f t="shared" si="31"/>
        <v>2.50515259925102</v>
      </c>
      <c r="J176" s="4">
        <f t="shared" si="31"/>
        <v>2.43204688741976</v>
      </c>
      <c r="K176" s="4">
        <f t="shared" si="31"/>
        <v>2.3570023286919</v>
      </c>
      <c r="L176" s="4">
        <f t="shared" si="31"/>
        <v>2.23846066542441</v>
      </c>
      <c r="M176" s="4">
        <f t="shared" si="31"/>
        <v>2.22407339250102</v>
      </c>
      <c r="N176" s="4">
        <f t="shared" si="31"/>
        <v>2.12694307990258</v>
      </c>
      <c r="O176" s="4">
        <f t="shared" si="31"/>
        <v>2.02622702265392</v>
      </c>
      <c r="P176" s="4">
        <f t="shared" si="31"/>
        <v>1.90715979813123</v>
      </c>
      <c r="Q176" s="4">
        <f t="shared" si="31"/>
        <v>1.67471797220659</v>
      </c>
      <c r="R176" s="4">
        <f t="shared" si="31"/>
        <v>1.36114656846491</v>
      </c>
      <c r="S176" s="4">
        <f t="shared" si="30"/>
        <v>1.26114803000753</v>
      </c>
      <c r="T176" s="4">
        <f t="shared" si="30"/>
        <v>1.04377935641701</v>
      </c>
      <c r="U176" s="4">
        <f t="shared" si="30"/>
        <v>0.824721966723483</v>
      </c>
      <c r="V176" s="4">
        <f t="shared" si="30"/>
        <v>0.782503629773627</v>
      </c>
      <c r="W176" s="4">
        <f t="shared" si="30"/>
        <v>0.655116836289817</v>
      </c>
      <c r="X176" s="4">
        <f t="shared" si="30"/>
        <v>0.590475234395335</v>
      </c>
      <c r="Y176" s="4">
        <f t="shared" si="30"/>
        <v>0.523237128470627</v>
      </c>
      <c r="Z176" s="4">
        <f t="shared" si="30"/>
        <v>0.512730445924281</v>
      </c>
      <c r="AA176" s="4">
        <f t="shared" si="30"/>
        <v>0.480126397775231</v>
      </c>
      <c r="AB176" s="4">
        <f t="shared" si="30"/>
        <v>0.432517561500311</v>
      </c>
      <c r="AC176" s="4">
        <f t="shared" si="30"/>
        <v>0.393524455373224</v>
      </c>
      <c r="AD176" s="4">
        <f t="shared" si="30"/>
        <v>0.387075310156243</v>
      </c>
      <c r="AE176" s="4">
        <f t="shared" si="30"/>
        <v>0.360774932200545</v>
      </c>
      <c r="AF176" s="4">
        <f t="shared" si="30"/>
        <v>0.345436044334857</v>
      </c>
      <c r="AG176" s="4">
        <f t="shared" si="30"/>
        <v>0.333932976940464</v>
      </c>
      <c r="AH176" s="4">
        <f t="shared" si="27"/>
        <v>0.290828307252108</v>
      </c>
      <c r="AI176" s="4">
        <f t="shared" si="27"/>
        <v>0.266504609981243</v>
      </c>
      <c r="AJ176" s="4">
        <f t="shared" si="27"/>
        <v>0.254907408174699</v>
      </c>
    </row>
    <row r="177" spans="1:36">
      <c r="A177" t="str">
        <f>"semis_procurement_archetype_"&amp;TEXT(ROUND(Table26916[[#This Row],[2016]],3),"0.0")</f>
        <v>semis_procurement_archetype_2.8</v>
      </c>
      <c r="B177" s="4">
        <f t="shared" si="24"/>
        <v>2.8</v>
      </c>
      <c r="C177" s="4">
        <f t="shared" si="31"/>
        <v>2.8</v>
      </c>
      <c r="D177" s="4">
        <f t="shared" si="31"/>
        <v>2.8</v>
      </c>
      <c r="E177" s="4">
        <f t="shared" si="31"/>
        <v>2.73831336615579</v>
      </c>
      <c r="F177" s="4">
        <f t="shared" si="31"/>
        <v>2.58918233119615</v>
      </c>
      <c r="G177" s="4">
        <f t="shared" si="31"/>
        <v>2.61003121441122</v>
      </c>
      <c r="H177" s="4">
        <f t="shared" si="31"/>
        <v>2.54529938929412</v>
      </c>
      <c r="I177" s="4">
        <f t="shared" si="31"/>
        <v>2.42008014477322</v>
      </c>
      <c r="J177" s="4">
        <f t="shared" si="31"/>
        <v>2.34973825724275</v>
      </c>
      <c r="K177" s="4">
        <f t="shared" si="31"/>
        <v>2.27753082258986</v>
      </c>
      <c r="L177" s="4">
        <f t="shared" si="31"/>
        <v>2.16347072883845</v>
      </c>
      <c r="M177" s="4">
        <f t="shared" si="31"/>
        <v>2.14962737913982</v>
      </c>
      <c r="N177" s="4">
        <f t="shared" si="31"/>
        <v>2.05616916153339</v>
      </c>
      <c r="O177" s="4">
        <f t="shared" si="31"/>
        <v>1.9592607614367</v>
      </c>
      <c r="P177" s="4">
        <f t="shared" si="31"/>
        <v>1.84469497572529</v>
      </c>
      <c r="Q177" s="4">
        <f t="shared" si="31"/>
        <v>1.62104081291092</v>
      </c>
      <c r="R177" s="4">
        <f t="shared" si="31"/>
        <v>1.31932424573378</v>
      </c>
      <c r="S177" s="4">
        <f t="shared" si="30"/>
        <v>1.22310623801345</v>
      </c>
      <c r="T177" s="4">
        <f t="shared" si="30"/>
        <v>1.01395537404754</v>
      </c>
      <c r="U177" s="4">
        <f t="shared" si="30"/>
        <v>0.803179637343037</v>
      </c>
      <c r="V177" s="4">
        <f t="shared" si="30"/>
        <v>0.76255740092593</v>
      </c>
      <c r="W177" s="4">
        <f t="shared" si="30"/>
        <v>0.639986574712133</v>
      </c>
      <c r="X177" s="4">
        <f t="shared" si="30"/>
        <v>0.577788804163829</v>
      </c>
      <c r="Y177" s="4">
        <f t="shared" si="30"/>
        <v>0.513092692652947</v>
      </c>
      <c r="Z177" s="4">
        <f t="shared" si="30"/>
        <v>0.502983224275164</v>
      </c>
      <c r="AA177" s="4">
        <f t="shared" si="30"/>
        <v>0.471611800203238</v>
      </c>
      <c r="AB177" s="4">
        <f t="shared" si="30"/>
        <v>0.425802856923446</v>
      </c>
      <c r="AC177" s="4">
        <f t="shared" si="30"/>
        <v>0.388283918704416</v>
      </c>
      <c r="AD177" s="4">
        <f t="shared" si="30"/>
        <v>0.382078588968108</v>
      </c>
      <c r="AE177" s="4">
        <f t="shared" si="30"/>
        <v>0.356772519417226</v>
      </c>
      <c r="AF177" s="4">
        <f t="shared" si="30"/>
        <v>0.342013531397505</v>
      </c>
      <c r="AG177" s="4">
        <f t="shared" si="30"/>
        <v>0.330945347357667</v>
      </c>
      <c r="AH177" s="4">
        <f t="shared" si="27"/>
        <v>0.289470286773414</v>
      </c>
      <c r="AI177" s="4">
        <f t="shared" si="27"/>
        <v>0.266066167794289</v>
      </c>
      <c r="AJ177" s="4">
        <f t="shared" si="27"/>
        <v>0.254907408174699</v>
      </c>
    </row>
    <row r="178" spans="1:36">
      <c r="A178" t="str">
        <f>"semis_procurement_archetype_"&amp;TEXT(ROUND(Table26916[[#This Row],[2016]],3),"0.0")</f>
        <v>semis_procurement_archetype_2.7</v>
      </c>
      <c r="B178" s="4">
        <f t="shared" si="24"/>
        <v>2.7</v>
      </c>
      <c r="C178" s="4">
        <f t="shared" si="31"/>
        <v>2.7</v>
      </c>
      <c r="D178" s="4">
        <f t="shared" si="31"/>
        <v>2.7</v>
      </c>
      <c r="E178" s="4">
        <f t="shared" si="31"/>
        <v>2.64073711427569</v>
      </c>
      <c r="F178" s="4">
        <f t="shared" si="31"/>
        <v>2.49746563175193</v>
      </c>
      <c r="G178" s="4">
        <f t="shared" si="31"/>
        <v>2.5174953352137</v>
      </c>
      <c r="H178" s="4">
        <f t="shared" si="31"/>
        <v>2.45530690774449</v>
      </c>
      <c r="I178" s="4">
        <f t="shared" si="31"/>
        <v>2.33500769029542</v>
      </c>
      <c r="J178" s="4">
        <f t="shared" si="31"/>
        <v>2.26742962706574</v>
      </c>
      <c r="K178" s="4">
        <f t="shared" si="31"/>
        <v>2.19805931648781</v>
      </c>
      <c r="L178" s="4">
        <f t="shared" si="31"/>
        <v>2.08848079225249</v>
      </c>
      <c r="M178" s="4">
        <f t="shared" si="31"/>
        <v>2.07518136577862</v>
      </c>
      <c r="N178" s="4">
        <f t="shared" si="31"/>
        <v>1.9853952431642</v>
      </c>
      <c r="O178" s="4">
        <f t="shared" si="31"/>
        <v>1.89229450021947</v>
      </c>
      <c r="P178" s="4">
        <f t="shared" si="31"/>
        <v>1.78223015331934</v>
      </c>
      <c r="Q178" s="4">
        <f t="shared" si="31"/>
        <v>1.56736365361526</v>
      </c>
      <c r="R178" s="4">
        <f t="shared" si="31"/>
        <v>1.27750192300266</v>
      </c>
      <c r="S178" s="4">
        <f t="shared" si="30"/>
        <v>1.18506444601938</v>
      </c>
      <c r="T178" s="4">
        <f t="shared" si="30"/>
        <v>0.98413139167806</v>
      </c>
      <c r="U178" s="4">
        <f t="shared" si="30"/>
        <v>0.781637307962591</v>
      </c>
      <c r="V178" s="4">
        <f t="shared" si="30"/>
        <v>0.742611172078234</v>
      </c>
      <c r="W178" s="4">
        <f t="shared" si="30"/>
        <v>0.624856313134449</v>
      </c>
      <c r="X178" s="4">
        <f t="shared" si="30"/>
        <v>0.565102373932324</v>
      </c>
      <c r="Y178" s="4">
        <f t="shared" si="30"/>
        <v>0.502948256835267</v>
      </c>
      <c r="Z178" s="4">
        <f t="shared" si="30"/>
        <v>0.493236002626047</v>
      </c>
      <c r="AA178" s="4">
        <f t="shared" si="30"/>
        <v>0.463097202631244</v>
      </c>
      <c r="AB178" s="4">
        <f t="shared" si="30"/>
        <v>0.419088152346581</v>
      </c>
      <c r="AC178" s="4">
        <f t="shared" si="30"/>
        <v>0.383043382035609</v>
      </c>
      <c r="AD178" s="4">
        <f t="shared" si="30"/>
        <v>0.377081867779972</v>
      </c>
      <c r="AE178" s="4">
        <f t="shared" si="30"/>
        <v>0.352770106633907</v>
      </c>
      <c r="AF178" s="4">
        <f t="shared" si="30"/>
        <v>0.338591018460153</v>
      </c>
      <c r="AG178" s="4">
        <f t="shared" si="30"/>
        <v>0.327957717774869</v>
      </c>
      <c r="AH178" s="4">
        <f t="shared" si="27"/>
        <v>0.28811226629472</v>
      </c>
      <c r="AI178" s="4">
        <f t="shared" si="27"/>
        <v>0.265627725607336</v>
      </c>
      <c r="AJ178" s="4">
        <f t="shared" si="27"/>
        <v>0.254907408174699</v>
      </c>
    </row>
    <row r="179" spans="1:36">
      <c r="A179" t="str">
        <f>"semis_procurement_archetype_"&amp;TEXT(ROUND(Table26916[[#This Row],[2016]],3),"0.0")</f>
        <v>semis_procurement_archetype_2.6</v>
      </c>
      <c r="B179" s="4">
        <f t="shared" si="24"/>
        <v>2.6</v>
      </c>
      <c r="C179" s="4">
        <f t="shared" si="31"/>
        <v>2.6</v>
      </c>
      <c r="D179" s="4">
        <f t="shared" si="31"/>
        <v>2.6</v>
      </c>
      <c r="E179" s="4">
        <f t="shared" si="31"/>
        <v>2.5431608623956</v>
      </c>
      <c r="F179" s="4">
        <f t="shared" si="31"/>
        <v>2.40574893230771</v>
      </c>
      <c r="G179" s="4">
        <f t="shared" si="31"/>
        <v>2.42495945601618</v>
      </c>
      <c r="H179" s="4">
        <f t="shared" si="31"/>
        <v>2.36531442619486</v>
      </c>
      <c r="I179" s="4">
        <f t="shared" si="31"/>
        <v>2.24993523581761</v>
      </c>
      <c r="J179" s="4">
        <f t="shared" si="31"/>
        <v>2.18512099688872</v>
      </c>
      <c r="K179" s="4">
        <f t="shared" si="31"/>
        <v>2.11858781038577</v>
      </c>
      <c r="L179" s="4">
        <f t="shared" si="31"/>
        <v>2.01349085566653</v>
      </c>
      <c r="M179" s="4">
        <f t="shared" si="31"/>
        <v>2.00073535241743</v>
      </c>
      <c r="N179" s="4">
        <f t="shared" si="31"/>
        <v>1.91462132479501</v>
      </c>
      <c r="O179" s="4">
        <f t="shared" si="31"/>
        <v>1.82532823900224</v>
      </c>
      <c r="P179" s="4">
        <f t="shared" si="31"/>
        <v>1.71976533091339</v>
      </c>
      <c r="Q179" s="4">
        <f t="shared" si="31"/>
        <v>1.5136864943196</v>
      </c>
      <c r="R179" s="4">
        <f t="shared" si="31"/>
        <v>1.23567960027154</v>
      </c>
      <c r="S179" s="4">
        <f t="shared" si="30"/>
        <v>1.14702265402531</v>
      </c>
      <c r="T179" s="4">
        <f t="shared" si="30"/>
        <v>0.954307409308583</v>
      </c>
      <c r="U179" s="4">
        <f t="shared" si="30"/>
        <v>0.760094978582145</v>
      </c>
      <c r="V179" s="4">
        <f t="shared" si="30"/>
        <v>0.722664943230538</v>
      </c>
      <c r="W179" s="4">
        <f t="shared" si="30"/>
        <v>0.609726051556764</v>
      </c>
      <c r="X179" s="4">
        <f t="shared" si="30"/>
        <v>0.552415943700818</v>
      </c>
      <c r="Y179" s="4">
        <f t="shared" si="30"/>
        <v>0.492803821017587</v>
      </c>
      <c r="Z179" s="4">
        <f t="shared" si="30"/>
        <v>0.48348878097693</v>
      </c>
      <c r="AA179" s="4">
        <f t="shared" si="30"/>
        <v>0.454582605059251</v>
      </c>
      <c r="AB179" s="4">
        <f t="shared" si="30"/>
        <v>0.412373447769716</v>
      </c>
      <c r="AC179" s="4">
        <f t="shared" si="30"/>
        <v>0.377802845366801</v>
      </c>
      <c r="AD179" s="4">
        <f t="shared" si="30"/>
        <v>0.372085146591836</v>
      </c>
      <c r="AE179" s="4">
        <f t="shared" si="30"/>
        <v>0.348767693850587</v>
      </c>
      <c r="AF179" s="4">
        <f t="shared" si="30"/>
        <v>0.335168505522801</v>
      </c>
      <c r="AG179" s="4">
        <f t="shared" si="30"/>
        <v>0.324970088192071</v>
      </c>
      <c r="AH179" s="4">
        <f t="shared" si="27"/>
        <v>0.286754245816025</v>
      </c>
      <c r="AI179" s="4">
        <f t="shared" si="27"/>
        <v>0.265189283420382</v>
      </c>
      <c r="AJ179" s="4">
        <f t="shared" si="27"/>
        <v>0.254907408174699</v>
      </c>
    </row>
    <row r="180" spans="1:36">
      <c r="A180" t="str">
        <f>"semis_procurement_archetype_"&amp;TEXT(ROUND(Table26916[[#This Row],[2016]],3),"0.0")</f>
        <v>semis_procurement_archetype_2.5</v>
      </c>
      <c r="B180" s="4">
        <f t="shared" si="24"/>
        <v>2.5</v>
      </c>
      <c r="C180" s="4">
        <f t="shared" si="31"/>
        <v>2.5</v>
      </c>
      <c r="D180" s="4">
        <f t="shared" si="31"/>
        <v>2.5</v>
      </c>
      <c r="E180" s="4">
        <f t="shared" si="31"/>
        <v>2.4455846105155</v>
      </c>
      <c r="F180" s="4">
        <f t="shared" si="31"/>
        <v>2.3140322328635</v>
      </c>
      <c r="G180" s="4">
        <f t="shared" si="31"/>
        <v>2.33242357681866</v>
      </c>
      <c r="H180" s="4">
        <f t="shared" si="31"/>
        <v>2.27532194464523</v>
      </c>
      <c r="I180" s="4">
        <f t="shared" si="31"/>
        <v>2.16486278133981</v>
      </c>
      <c r="J180" s="4">
        <f t="shared" si="31"/>
        <v>2.10281236671171</v>
      </c>
      <c r="K180" s="4">
        <f t="shared" si="31"/>
        <v>2.03911630428372</v>
      </c>
      <c r="L180" s="4">
        <f t="shared" si="31"/>
        <v>1.93850091908057</v>
      </c>
      <c r="M180" s="4">
        <f t="shared" si="31"/>
        <v>1.92628933905623</v>
      </c>
      <c r="N180" s="4">
        <f t="shared" si="31"/>
        <v>1.84384740642583</v>
      </c>
      <c r="O180" s="4">
        <f t="shared" si="31"/>
        <v>1.75836197778502</v>
      </c>
      <c r="P180" s="4">
        <f t="shared" si="31"/>
        <v>1.65730050850745</v>
      </c>
      <c r="Q180" s="4">
        <f t="shared" si="31"/>
        <v>1.46000933502393</v>
      </c>
      <c r="R180" s="4">
        <f t="shared" si="31"/>
        <v>1.19385727754041</v>
      </c>
      <c r="S180" s="4">
        <f t="shared" si="30"/>
        <v>1.10898086203123</v>
      </c>
      <c r="T180" s="4">
        <f t="shared" si="30"/>
        <v>0.924483426939107</v>
      </c>
      <c r="U180" s="4">
        <f t="shared" si="30"/>
        <v>0.738552649201699</v>
      </c>
      <c r="V180" s="4">
        <f t="shared" si="30"/>
        <v>0.702718714382843</v>
      </c>
      <c r="W180" s="4">
        <f t="shared" si="30"/>
        <v>0.59459578997908</v>
      </c>
      <c r="X180" s="4">
        <f t="shared" si="30"/>
        <v>0.539729513469313</v>
      </c>
      <c r="Y180" s="4">
        <f t="shared" si="30"/>
        <v>0.482659385199907</v>
      </c>
      <c r="Z180" s="4">
        <f t="shared" si="30"/>
        <v>0.473741559327814</v>
      </c>
      <c r="AA180" s="4">
        <f t="shared" si="30"/>
        <v>0.446068007487258</v>
      </c>
      <c r="AB180" s="4">
        <f t="shared" si="30"/>
        <v>0.405658743192851</v>
      </c>
      <c r="AC180" s="4">
        <f t="shared" si="30"/>
        <v>0.372562308697993</v>
      </c>
      <c r="AD180" s="4">
        <f t="shared" si="30"/>
        <v>0.3670884254037</v>
      </c>
      <c r="AE180" s="4">
        <f t="shared" si="30"/>
        <v>0.344765281067268</v>
      </c>
      <c r="AF180" s="4">
        <f t="shared" si="30"/>
        <v>0.331745992585449</v>
      </c>
      <c r="AG180" s="4">
        <f t="shared" si="30"/>
        <v>0.321982458609273</v>
      </c>
      <c r="AH180" s="4">
        <f t="shared" si="27"/>
        <v>0.285396225337331</v>
      </c>
      <c r="AI180" s="4">
        <f t="shared" si="27"/>
        <v>0.264750841233429</v>
      </c>
      <c r="AJ180" s="4">
        <f t="shared" si="27"/>
        <v>0.254907408174699</v>
      </c>
    </row>
    <row r="181" spans="1:36">
      <c r="A181" t="str">
        <f>"semis_procurement_archetype_"&amp;TEXT(ROUND(Table26916[[#This Row],[2016]],3),"0.0")</f>
        <v>semis_procurement_archetype_2.4</v>
      </c>
      <c r="B181" s="4">
        <f t="shared" si="24"/>
        <v>2.4</v>
      </c>
      <c r="C181" s="4">
        <f t="shared" si="31"/>
        <v>2.4</v>
      </c>
      <c r="D181" s="4">
        <f t="shared" si="31"/>
        <v>2.4</v>
      </c>
      <c r="E181" s="4">
        <f t="shared" si="31"/>
        <v>2.34800835863541</v>
      </c>
      <c r="F181" s="4">
        <f t="shared" si="31"/>
        <v>2.22231553341928</v>
      </c>
      <c r="G181" s="4">
        <f t="shared" si="31"/>
        <v>2.23988769762113</v>
      </c>
      <c r="H181" s="4">
        <f t="shared" si="31"/>
        <v>2.18532946309559</v>
      </c>
      <c r="I181" s="4">
        <f t="shared" si="31"/>
        <v>2.07979032686201</v>
      </c>
      <c r="J181" s="4">
        <f t="shared" si="31"/>
        <v>2.0205037365347</v>
      </c>
      <c r="K181" s="4">
        <f t="shared" si="31"/>
        <v>1.95964479818168</v>
      </c>
      <c r="L181" s="4">
        <f t="shared" si="31"/>
        <v>1.86351098249461</v>
      </c>
      <c r="M181" s="4">
        <f t="shared" si="31"/>
        <v>1.85184332569503</v>
      </c>
      <c r="N181" s="4">
        <f t="shared" si="31"/>
        <v>1.77307348805664</v>
      </c>
      <c r="O181" s="4">
        <f t="shared" si="31"/>
        <v>1.69139571656779</v>
      </c>
      <c r="P181" s="4">
        <f t="shared" si="31"/>
        <v>1.5948356861015</v>
      </c>
      <c r="Q181" s="4">
        <f t="shared" si="31"/>
        <v>1.40633217572827</v>
      </c>
      <c r="R181" s="4">
        <f t="shared" si="31"/>
        <v>1.15203495480929</v>
      </c>
      <c r="S181" s="4">
        <f t="shared" si="30"/>
        <v>1.07093907003716</v>
      </c>
      <c r="T181" s="4">
        <f t="shared" si="30"/>
        <v>0.89465944456963</v>
      </c>
      <c r="U181" s="4">
        <f t="shared" si="30"/>
        <v>0.717010319821253</v>
      </c>
      <c r="V181" s="4">
        <f t="shared" si="30"/>
        <v>0.682772485535147</v>
      </c>
      <c r="W181" s="4">
        <f t="shared" si="30"/>
        <v>0.579465528401396</v>
      </c>
      <c r="X181" s="4">
        <f t="shared" si="30"/>
        <v>0.527043083237808</v>
      </c>
      <c r="Y181" s="4">
        <f t="shared" si="30"/>
        <v>0.472514949382227</v>
      </c>
      <c r="Z181" s="4">
        <f t="shared" si="30"/>
        <v>0.463994337678697</v>
      </c>
      <c r="AA181" s="4">
        <f t="shared" si="30"/>
        <v>0.437553409915265</v>
      </c>
      <c r="AB181" s="4">
        <f t="shared" si="30"/>
        <v>0.398944038615986</v>
      </c>
      <c r="AC181" s="4">
        <f t="shared" si="30"/>
        <v>0.367321772029185</v>
      </c>
      <c r="AD181" s="4">
        <f t="shared" si="30"/>
        <v>0.362091704215565</v>
      </c>
      <c r="AE181" s="4">
        <f t="shared" si="30"/>
        <v>0.340762868283949</v>
      </c>
      <c r="AF181" s="4">
        <f t="shared" si="30"/>
        <v>0.328323479648097</v>
      </c>
      <c r="AG181" s="4">
        <f t="shared" si="30"/>
        <v>0.318994829026475</v>
      </c>
      <c r="AH181" s="4">
        <f t="shared" si="27"/>
        <v>0.284038204858637</v>
      </c>
      <c r="AI181" s="4">
        <f t="shared" si="27"/>
        <v>0.264312399046475</v>
      </c>
      <c r="AJ181" s="4">
        <f t="shared" si="27"/>
        <v>0.254907408174699</v>
      </c>
    </row>
    <row r="182" spans="1:36">
      <c r="A182" t="str">
        <f>"semis_procurement_archetype_"&amp;TEXT(ROUND(Table26916[[#This Row],[2016]],3),"0.0")</f>
        <v>semis_procurement_archetype_2.3</v>
      </c>
      <c r="B182" s="4">
        <f t="shared" si="24"/>
        <v>2.3</v>
      </c>
      <c r="C182" s="4">
        <f t="shared" si="31"/>
        <v>2.3</v>
      </c>
      <c r="D182" s="4">
        <f t="shared" si="31"/>
        <v>2.3</v>
      </c>
      <c r="E182" s="4">
        <f t="shared" si="31"/>
        <v>2.25043210675531</v>
      </c>
      <c r="F182" s="4">
        <f t="shared" si="31"/>
        <v>2.13059883397506</v>
      </c>
      <c r="G182" s="4">
        <f t="shared" si="31"/>
        <v>2.14735181842361</v>
      </c>
      <c r="H182" s="4">
        <f t="shared" si="31"/>
        <v>2.09533698154596</v>
      </c>
      <c r="I182" s="4">
        <f t="shared" si="31"/>
        <v>1.9947178723842</v>
      </c>
      <c r="J182" s="4">
        <f t="shared" si="31"/>
        <v>1.93819510635768</v>
      </c>
      <c r="K182" s="4">
        <f t="shared" si="31"/>
        <v>1.88017329207963</v>
      </c>
      <c r="L182" s="4">
        <f t="shared" si="31"/>
        <v>1.78852104590865</v>
      </c>
      <c r="M182" s="4">
        <f t="shared" si="31"/>
        <v>1.77739731233383</v>
      </c>
      <c r="N182" s="4">
        <f t="shared" si="31"/>
        <v>1.70229956968745</v>
      </c>
      <c r="O182" s="4">
        <f t="shared" si="31"/>
        <v>1.62442945535057</v>
      </c>
      <c r="P182" s="4">
        <f t="shared" si="31"/>
        <v>1.53237086369555</v>
      </c>
      <c r="Q182" s="4">
        <f t="shared" si="31"/>
        <v>1.3526550164326</v>
      </c>
      <c r="R182" s="4">
        <f t="shared" si="31"/>
        <v>1.11021263207817</v>
      </c>
      <c r="S182" s="4">
        <f t="shared" si="30"/>
        <v>1.03289727804309</v>
      </c>
      <c r="T182" s="4">
        <f t="shared" si="30"/>
        <v>0.864835462200153</v>
      </c>
      <c r="U182" s="4">
        <f t="shared" si="30"/>
        <v>0.695467990440807</v>
      </c>
      <c r="V182" s="4">
        <f t="shared" si="30"/>
        <v>0.662826256687451</v>
      </c>
      <c r="W182" s="4">
        <f t="shared" si="30"/>
        <v>0.564335266823711</v>
      </c>
      <c r="X182" s="4">
        <f t="shared" si="30"/>
        <v>0.514356653006302</v>
      </c>
      <c r="Y182" s="4">
        <f t="shared" si="30"/>
        <v>0.462370513564547</v>
      </c>
      <c r="Z182" s="4">
        <f t="shared" si="30"/>
        <v>0.45424711602958</v>
      </c>
      <c r="AA182" s="4">
        <f t="shared" si="30"/>
        <v>0.429038812343271</v>
      </c>
      <c r="AB182" s="4">
        <f t="shared" si="30"/>
        <v>0.392229334039121</v>
      </c>
      <c r="AC182" s="4">
        <f t="shared" si="30"/>
        <v>0.362081235360377</v>
      </c>
      <c r="AD182" s="4">
        <f t="shared" si="30"/>
        <v>0.357094983027429</v>
      </c>
      <c r="AE182" s="4">
        <f t="shared" si="30"/>
        <v>0.33676045550063</v>
      </c>
      <c r="AF182" s="4">
        <f t="shared" si="30"/>
        <v>0.324900966710745</v>
      </c>
      <c r="AG182" s="4">
        <f t="shared" si="30"/>
        <v>0.316007199443678</v>
      </c>
      <c r="AH182" s="4">
        <f t="shared" si="27"/>
        <v>0.282680184379943</v>
      </c>
      <c r="AI182" s="4">
        <f t="shared" si="27"/>
        <v>0.263873956859522</v>
      </c>
      <c r="AJ182" s="4">
        <f t="shared" si="27"/>
        <v>0.254907408174699</v>
      </c>
    </row>
    <row r="183" spans="1:36">
      <c r="A183" t="str">
        <f>"semis_procurement_archetype_"&amp;TEXT(ROUND(Table26916[[#This Row],[2016]],3),"0.0")</f>
        <v>semis_procurement_archetype_2.2</v>
      </c>
      <c r="B183" s="4">
        <f t="shared" si="24"/>
        <v>2.2</v>
      </c>
      <c r="C183" s="4">
        <f t="shared" si="31"/>
        <v>2.2</v>
      </c>
      <c r="D183" s="4">
        <f t="shared" si="31"/>
        <v>2.2</v>
      </c>
      <c r="E183" s="4">
        <f t="shared" si="31"/>
        <v>2.15285585487522</v>
      </c>
      <c r="F183" s="4">
        <f t="shared" si="31"/>
        <v>2.03888213453084</v>
      </c>
      <c r="G183" s="4">
        <f t="shared" si="31"/>
        <v>2.05481593922609</v>
      </c>
      <c r="H183" s="4">
        <f t="shared" si="31"/>
        <v>2.00534449999633</v>
      </c>
      <c r="I183" s="4">
        <f t="shared" si="31"/>
        <v>1.9096454179064</v>
      </c>
      <c r="J183" s="4">
        <f t="shared" si="31"/>
        <v>1.85588647618067</v>
      </c>
      <c r="K183" s="4">
        <f t="shared" si="31"/>
        <v>1.80070178597758</v>
      </c>
      <c r="L183" s="4">
        <f t="shared" si="31"/>
        <v>1.71353110932269</v>
      </c>
      <c r="M183" s="4">
        <f t="shared" si="31"/>
        <v>1.70295129897263</v>
      </c>
      <c r="N183" s="4">
        <f t="shared" si="31"/>
        <v>1.63152565131826</v>
      </c>
      <c r="O183" s="4">
        <f t="shared" si="31"/>
        <v>1.55746319413334</v>
      </c>
      <c r="P183" s="4">
        <f t="shared" si="31"/>
        <v>1.4699060412896</v>
      </c>
      <c r="Q183" s="4">
        <f t="shared" si="31"/>
        <v>1.29897785713694</v>
      </c>
      <c r="R183" s="4">
        <f t="shared" si="31"/>
        <v>1.06839030934704</v>
      </c>
      <c r="S183" s="4">
        <f t="shared" si="30"/>
        <v>0.994855486049012</v>
      </c>
      <c r="T183" s="4">
        <f t="shared" si="30"/>
        <v>0.835011479830676</v>
      </c>
      <c r="U183" s="4">
        <f t="shared" si="30"/>
        <v>0.673925661060361</v>
      </c>
      <c r="V183" s="4">
        <f t="shared" si="30"/>
        <v>0.642880027839755</v>
      </c>
      <c r="W183" s="4">
        <f t="shared" si="30"/>
        <v>0.549205005246027</v>
      </c>
      <c r="X183" s="4">
        <f t="shared" si="30"/>
        <v>0.501670222774797</v>
      </c>
      <c r="Y183" s="4">
        <f t="shared" si="30"/>
        <v>0.452226077746867</v>
      </c>
      <c r="Z183" s="4">
        <f t="shared" si="30"/>
        <v>0.444499894380463</v>
      </c>
      <c r="AA183" s="4">
        <f t="shared" si="30"/>
        <v>0.420524214771278</v>
      </c>
      <c r="AB183" s="4">
        <f t="shared" si="30"/>
        <v>0.385514629462256</v>
      </c>
      <c r="AC183" s="4">
        <f t="shared" si="30"/>
        <v>0.356840698691569</v>
      </c>
      <c r="AD183" s="4">
        <f t="shared" si="30"/>
        <v>0.352098261839293</v>
      </c>
      <c r="AE183" s="4">
        <f t="shared" si="30"/>
        <v>0.33275804271731</v>
      </c>
      <c r="AF183" s="4">
        <f t="shared" si="30"/>
        <v>0.321478453773393</v>
      </c>
      <c r="AG183" s="4">
        <f t="shared" si="30"/>
        <v>0.31301956986088</v>
      </c>
      <c r="AH183" s="4">
        <f t="shared" si="27"/>
        <v>0.281322163901249</v>
      </c>
      <c r="AI183" s="4">
        <f t="shared" si="27"/>
        <v>0.263435514672568</v>
      </c>
      <c r="AJ183" s="4">
        <f t="shared" si="27"/>
        <v>0.254907408174699</v>
      </c>
    </row>
    <row r="184" spans="1:36">
      <c r="A184" t="str">
        <f>"semis_procurement_archetype_"&amp;TEXT(ROUND(Table26916[[#This Row],[2016]],3),"0.0")</f>
        <v>semis_procurement_archetype_2.1</v>
      </c>
      <c r="B184" s="4">
        <f t="shared" si="24"/>
        <v>2.1</v>
      </c>
      <c r="C184" s="4">
        <f t="shared" si="31"/>
        <v>2.1</v>
      </c>
      <c r="D184" s="4">
        <f t="shared" si="31"/>
        <v>2.1</v>
      </c>
      <c r="E184" s="4">
        <f t="shared" si="31"/>
        <v>2.05527960299512</v>
      </c>
      <c r="F184" s="4">
        <f t="shared" si="31"/>
        <v>1.94716543508663</v>
      </c>
      <c r="G184" s="4">
        <f t="shared" si="31"/>
        <v>1.96228006002857</v>
      </c>
      <c r="H184" s="4">
        <f t="shared" si="31"/>
        <v>1.9153520184467</v>
      </c>
      <c r="I184" s="4">
        <f t="shared" si="31"/>
        <v>1.8245729634286</v>
      </c>
      <c r="J184" s="4">
        <f t="shared" si="31"/>
        <v>1.77357784600366</v>
      </c>
      <c r="K184" s="4">
        <f t="shared" si="31"/>
        <v>1.72123027987554</v>
      </c>
      <c r="L184" s="4">
        <f t="shared" si="31"/>
        <v>1.63854117273673</v>
      </c>
      <c r="M184" s="4">
        <f t="shared" si="31"/>
        <v>1.62850528561144</v>
      </c>
      <c r="N184" s="4">
        <f t="shared" si="31"/>
        <v>1.56075173294907</v>
      </c>
      <c r="O184" s="4">
        <f t="shared" si="31"/>
        <v>1.49049693291611</v>
      </c>
      <c r="P184" s="4">
        <f t="shared" si="31"/>
        <v>1.40744121888366</v>
      </c>
      <c r="Q184" s="4">
        <f t="shared" si="31"/>
        <v>1.24530069784127</v>
      </c>
      <c r="R184" s="4">
        <f t="shared" si="31"/>
        <v>1.02656798661592</v>
      </c>
      <c r="S184" s="4">
        <f t="shared" si="30"/>
        <v>0.956813694054939</v>
      </c>
      <c r="T184" s="4">
        <f t="shared" si="30"/>
        <v>0.805187497461199</v>
      </c>
      <c r="U184" s="4">
        <f t="shared" si="30"/>
        <v>0.652383331679915</v>
      </c>
      <c r="V184" s="4">
        <f t="shared" si="30"/>
        <v>0.622933798992059</v>
      </c>
      <c r="W184" s="4">
        <f t="shared" si="30"/>
        <v>0.534074743668343</v>
      </c>
      <c r="X184" s="4">
        <f t="shared" si="30"/>
        <v>0.488983792543291</v>
      </c>
      <c r="Y184" s="4">
        <f t="shared" si="30"/>
        <v>0.442081641929186</v>
      </c>
      <c r="Z184" s="4">
        <f t="shared" si="30"/>
        <v>0.434752672731346</v>
      </c>
      <c r="AA184" s="4">
        <f t="shared" si="30"/>
        <v>0.412009617199285</v>
      </c>
      <c r="AB184" s="4">
        <f t="shared" si="30"/>
        <v>0.378799924885391</v>
      </c>
      <c r="AC184" s="4">
        <f t="shared" si="30"/>
        <v>0.351600162022761</v>
      </c>
      <c r="AD184" s="4">
        <f t="shared" si="30"/>
        <v>0.347101540651157</v>
      </c>
      <c r="AE184" s="4">
        <f t="shared" si="30"/>
        <v>0.328755629933991</v>
      </c>
      <c r="AF184" s="4">
        <f t="shared" si="30"/>
        <v>0.318055940836042</v>
      </c>
      <c r="AG184" s="4">
        <f t="shared" si="30"/>
        <v>0.310031940278082</v>
      </c>
      <c r="AH184" s="4">
        <f t="shared" si="27"/>
        <v>0.279964143422555</v>
      </c>
      <c r="AI184" s="4">
        <f t="shared" si="27"/>
        <v>0.262997072485615</v>
      </c>
      <c r="AJ184" s="4">
        <f t="shared" si="27"/>
        <v>0.254907408174699</v>
      </c>
    </row>
    <row r="185" spans="1:36">
      <c r="A185" t="str">
        <f>"semis_procurement_archetype_"&amp;TEXT(ROUND(Table26916[[#This Row],[2016]],3),"0.0")</f>
        <v>semis_procurement_archetype_2.0</v>
      </c>
      <c r="B185" s="4">
        <f t="shared" si="24"/>
        <v>2</v>
      </c>
      <c r="C185" s="4">
        <f t="shared" si="31"/>
        <v>2</v>
      </c>
      <c r="D185" s="4">
        <f t="shared" si="31"/>
        <v>2</v>
      </c>
      <c r="E185" s="4">
        <f t="shared" si="31"/>
        <v>1.95770335111503</v>
      </c>
      <c r="F185" s="4">
        <f t="shared" si="31"/>
        <v>1.85544873564241</v>
      </c>
      <c r="G185" s="4">
        <f t="shared" si="31"/>
        <v>1.86974418083105</v>
      </c>
      <c r="H185" s="4">
        <f t="shared" si="31"/>
        <v>1.82535953689707</v>
      </c>
      <c r="I185" s="4">
        <f t="shared" si="31"/>
        <v>1.73950050895079</v>
      </c>
      <c r="J185" s="4">
        <f t="shared" si="31"/>
        <v>1.69126921582664</v>
      </c>
      <c r="K185" s="4">
        <f t="shared" si="31"/>
        <v>1.64175877377349</v>
      </c>
      <c r="L185" s="4">
        <f t="shared" si="31"/>
        <v>1.56355123615077</v>
      </c>
      <c r="M185" s="4">
        <f t="shared" si="31"/>
        <v>1.55405927225024</v>
      </c>
      <c r="N185" s="4">
        <f t="shared" si="31"/>
        <v>1.48997781457988</v>
      </c>
      <c r="O185" s="4">
        <f t="shared" si="31"/>
        <v>1.42353067169889</v>
      </c>
      <c r="P185" s="4">
        <f t="shared" si="31"/>
        <v>1.34497639647771</v>
      </c>
      <c r="Q185" s="4">
        <f t="shared" si="31"/>
        <v>1.19162353854561</v>
      </c>
      <c r="R185" s="4">
        <f t="shared" si="31"/>
        <v>0.984745663884797</v>
      </c>
      <c r="S185" s="4">
        <f t="shared" si="30"/>
        <v>0.918771902060865</v>
      </c>
      <c r="T185" s="4">
        <f t="shared" si="30"/>
        <v>0.775363515091723</v>
      </c>
      <c r="U185" s="4">
        <f t="shared" si="30"/>
        <v>0.630841002299469</v>
      </c>
      <c r="V185" s="4">
        <f t="shared" si="30"/>
        <v>0.602987570144363</v>
      </c>
      <c r="W185" s="4">
        <f t="shared" si="30"/>
        <v>0.518944482090658</v>
      </c>
      <c r="X185" s="4">
        <f t="shared" si="30"/>
        <v>0.476297362311786</v>
      </c>
      <c r="Y185" s="4">
        <f t="shared" si="30"/>
        <v>0.431937206111506</v>
      </c>
      <c r="Z185" s="4">
        <f t="shared" si="30"/>
        <v>0.425005451082229</v>
      </c>
      <c r="AA185" s="4">
        <f t="shared" si="30"/>
        <v>0.403495019627291</v>
      </c>
      <c r="AB185" s="4">
        <f t="shared" si="30"/>
        <v>0.372085220308526</v>
      </c>
      <c r="AC185" s="4">
        <f t="shared" si="30"/>
        <v>0.346359625353953</v>
      </c>
      <c r="AD185" s="4">
        <f t="shared" si="30"/>
        <v>0.342104819463021</v>
      </c>
      <c r="AE185" s="4">
        <f t="shared" si="30"/>
        <v>0.324753217150672</v>
      </c>
      <c r="AF185" s="4">
        <f t="shared" si="30"/>
        <v>0.31463342789869</v>
      </c>
      <c r="AG185" s="4">
        <f t="shared" si="30"/>
        <v>0.307044310695284</v>
      </c>
      <c r="AH185" s="4">
        <f t="shared" si="27"/>
        <v>0.278606122943861</v>
      </c>
      <c r="AI185" s="4">
        <f t="shared" si="27"/>
        <v>0.262558630298661</v>
      </c>
      <c r="AJ185" s="4">
        <f t="shared" si="27"/>
        <v>0.254907408174699</v>
      </c>
    </row>
    <row r="186" spans="1:36">
      <c r="A186" t="str">
        <f>"semis_procurement_archetype_"&amp;TEXT(ROUND(Table26916[[#This Row],[2016]],3),"0.0")</f>
        <v>semis_procurement_archetype_1.9</v>
      </c>
      <c r="B186" s="4">
        <f t="shared" si="24"/>
        <v>1.9</v>
      </c>
      <c r="C186" s="4">
        <f t="shared" si="31"/>
        <v>1.9</v>
      </c>
      <c r="D186" s="4">
        <f t="shared" si="31"/>
        <v>1.9</v>
      </c>
      <c r="E186" s="4">
        <f t="shared" si="31"/>
        <v>1.86012709923493</v>
      </c>
      <c r="F186" s="4">
        <f t="shared" si="31"/>
        <v>1.76373203619819</v>
      </c>
      <c r="G186" s="4">
        <f t="shared" si="31"/>
        <v>1.77720830163353</v>
      </c>
      <c r="H186" s="4">
        <f t="shared" si="31"/>
        <v>1.73536705534744</v>
      </c>
      <c r="I186" s="4">
        <f t="shared" si="31"/>
        <v>1.65442805447299</v>
      </c>
      <c r="J186" s="4">
        <f t="shared" si="31"/>
        <v>1.60896058564963</v>
      </c>
      <c r="K186" s="4">
        <f t="shared" si="31"/>
        <v>1.56228726767145</v>
      </c>
      <c r="L186" s="4">
        <f t="shared" si="31"/>
        <v>1.48856129956481</v>
      </c>
      <c r="M186" s="4">
        <f t="shared" si="31"/>
        <v>1.47961325888904</v>
      </c>
      <c r="N186" s="4">
        <f t="shared" si="31"/>
        <v>1.4192038962107</v>
      </c>
      <c r="O186" s="4">
        <f t="shared" si="31"/>
        <v>1.35656441048166</v>
      </c>
      <c r="P186" s="4">
        <f t="shared" si="31"/>
        <v>1.28251157407176</v>
      </c>
      <c r="Q186" s="4">
        <f t="shared" si="31"/>
        <v>1.13794637924994</v>
      </c>
      <c r="R186" s="4">
        <f t="shared" si="31"/>
        <v>0.942923341153674</v>
      </c>
      <c r="S186" s="4">
        <f t="shared" si="30"/>
        <v>0.880730110066792</v>
      </c>
      <c r="T186" s="4">
        <f t="shared" si="30"/>
        <v>0.745539532722246</v>
      </c>
      <c r="U186" s="4">
        <f t="shared" si="30"/>
        <v>0.609298672919023</v>
      </c>
      <c r="V186" s="4">
        <f t="shared" si="30"/>
        <v>0.583041341296667</v>
      </c>
      <c r="W186" s="4">
        <f t="shared" si="30"/>
        <v>0.503814220512974</v>
      </c>
      <c r="X186" s="4">
        <f t="shared" si="30"/>
        <v>0.46361093208028</v>
      </c>
      <c r="Y186" s="4">
        <f t="shared" si="30"/>
        <v>0.421792770293826</v>
      </c>
      <c r="Z186" s="4">
        <f t="shared" si="30"/>
        <v>0.415258229433112</v>
      </c>
      <c r="AA186" s="4">
        <f t="shared" si="30"/>
        <v>0.394980422055298</v>
      </c>
      <c r="AB186" s="4">
        <f t="shared" si="30"/>
        <v>0.36537051573166</v>
      </c>
      <c r="AC186" s="4">
        <f t="shared" si="30"/>
        <v>0.341119088685146</v>
      </c>
      <c r="AD186" s="4">
        <f t="shared" si="30"/>
        <v>0.337108098274886</v>
      </c>
      <c r="AE186" s="4">
        <f t="shared" si="30"/>
        <v>0.320750804367353</v>
      </c>
      <c r="AF186" s="4">
        <f t="shared" si="30"/>
        <v>0.311210914961338</v>
      </c>
      <c r="AG186" s="4">
        <f t="shared" si="30"/>
        <v>0.304056681112487</v>
      </c>
      <c r="AH186" s="4">
        <f t="shared" si="27"/>
        <v>0.277248102465167</v>
      </c>
      <c r="AI186" s="4">
        <f t="shared" si="27"/>
        <v>0.262120188111708</v>
      </c>
      <c r="AJ186" s="4">
        <f t="shared" si="27"/>
        <v>0.254907408174699</v>
      </c>
    </row>
    <row r="187" spans="1:36">
      <c r="A187" t="str">
        <f>"semis_procurement_archetype_"&amp;TEXT(ROUND(Table26916[[#This Row],[2016]],3),"0.0")</f>
        <v>semis_procurement_archetype_1.8</v>
      </c>
      <c r="B187" s="4">
        <f t="shared" si="24"/>
        <v>1.8</v>
      </c>
      <c r="C187" s="4">
        <f t="shared" si="31"/>
        <v>1.8</v>
      </c>
      <c r="D187" s="4">
        <f t="shared" si="31"/>
        <v>1.8</v>
      </c>
      <c r="E187" s="4">
        <f t="shared" si="31"/>
        <v>1.76255084735484</v>
      </c>
      <c r="F187" s="4">
        <f t="shared" si="31"/>
        <v>1.67201533675398</v>
      </c>
      <c r="G187" s="4">
        <f t="shared" si="31"/>
        <v>1.68467242243601</v>
      </c>
      <c r="H187" s="4">
        <f t="shared" si="31"/>
        <v>1.64537457379781</v>
      </c>
      <c r="I187" s="4">
        <f t="shared" si="31"/>
        <v>1.56935559999519</v>
      </c>
      <c r="J187" s="4">
        <f t="shared" si="31"/>
        <v>1.52665195547262</v>
      </c>
      <c r="K187" s="4">
        <f t="shared" si="31"/>
        <v>1.4828157615694</v>
      </c>
      <c r="L187" s="4">
        <f t="shared" si="31"/>
        <v>1.41357136297886</v>
      </c>
      <c r="M187" s="4">
        <f t="shared" si="31"/>
        <v>1.40516724552784</v>
      </c>
      <c r="N187" s="4">
        <f t="shared" si="31"/>
        <v>1.34842997784151</v>
      </c>
      <c r="O187" s="4">
        <f t="shared" si="31"/>
        <v>1.28959814926444</v>
      </c>
      <c r="P187" s="4">
        <f t="shared" si="31"/>
        <v>1.22004675166582</v>
      </c>
      <c r="Q187" s="4">
        <f t="shared" si="31"/>
        <v>1.08426921995428</v>
      </c>
      <c r="R187" s="4">
        <f t="shared" si="31"/>
        <v>0.901101018422551</v>
      </c>
      <c r="S187" s="4">
        <f t="shared" si="30"/>
        <v>0.842688318072718</v>
      </c>
      <c r="T187" s="4">
        <f t="shared" si="30"/>
        <v>0.715715550352769</v>
      </c>
      <c r="U187" s="4">
        <f t="shared" si="30"/>
        <v>0.587756343538576</v>
      </c>
      <c r="V187" s="4">
        <f t="shared" si="30"/>
        <v>0.563095112448971</v>
      </c>
      <c r="W187" s="4">
        <f t="shared" si="30"/>
        <v>0.488683958935289</v>
      </c>
      <c r="X187" s="4">
        <f t="shared" si="30"/>
        <v>0.450924501848775</v>
      </c>
      <c r="Y187" s="4">
        <f t="shared" si="30"/>
        <v>0.411648334476146</v>
      </c>
      <c r="Z187" s="4">
        <f t="shared" si="30"/>
        <v>0.405511007783996</v>
      </c>
      <c r="AA187" s="4">
        <f t="shared" si="30"/>
        <v>0.386465824483305</v>
      </c>
      <c r="AB187" s="4">
        <f t="shared" si="30"/>
        <v>0.358655811154795</v>
      </c>
      <c r="AC187" s="4">
        <f t="shared" si="30"/>
        <v>0.335878552016338</v>
      </c>
      <c r="AD187" s="4">
        <f t="shared" si="30"/>
        <v>0.33211137708675</v>
      </c>
      <c r="AE187" s="4">
        <f t="shared" si="30"/>
        <v>0.316748391584033</v>
      </c>
      <c r="AF187" s="4">
        <f t="shared" si="30"/>
        <v>0.307788402023986</v>
      </c>
      <c r="AG187" s="4">
        <f t="shared" si="30"/>
        <v>0.301069051529689</v>
      </c>
      <c r="AH187" s="4">
        <f t="shared" si="27"/>
        <v>0.275890081986472</v>
      </c>
      <c r="AI187" s="4">
        <f t="shared" si="27"/>
        <v>0.261681745924754</v>
      </c>
      <c r="AJ187" s="4">
        <f t="shared" si="27"/>
        <v>0.254907408174699</v>
      </c>
    </row>
    <row r="188" spans="1:36">
      <c r="A188" t="str">
        <f>"semis_procurement_archetype_"&amp;TEXT(ROUND(Table26916[[#This Row],[2016]],3),"0.0")</f>
        <v>semis_procurement_archetype_1.7</v>
      </c>
      <c r="B188" s="4">
        <f t="shared" si="24"/>
        <v>1.7</v>
      </c>
      <c r="C188" s="4">
        <f t="shared" si="31"/>
        <v>1.7</v>
      </c>
      <c r="D188" s="4">
        <f t="shared" si="31"/>
        <v>1.7</v>
      </c>
      <c r="E188" s="4">
        <f t="shared" si="31"/>
        <v>1.66497459547474</v>
      </c>
      <c r="F188" s="4">
        <f t="shared" si="31"/>
        <v>1.58029863730976</v>
      </c>
      <c r="G188" s="4">
        <f t="shared" si="31"/>
        <v>1.59213654323849</v>
      </c>
      <c r="H188" s="4">
        <f t="shared" si="31"/>
        <v>1.55538209224817</v>
      </c>
      <c r="I188" s="4">
        <f t="shared" si="31"/>
        <v>1.48428314551738</v>
      </c>
      <c r="J188" s="4">
        <f t="shared" si="31"/>
        <v>1.4443433252956</v>
      </c>
      <c r="K188" s="4">
        <f t="shared" si="31"/>
        <v>1.40334425546735</v>
      </c>
      <c r="L188" s="4">
        <f t="shared" si="31"/>
        <v>1.3385814263929</v>
      </c>
      <c r="M188" s="4">
        <f t="shared" si="31"/>
        <v>1.33072123216664</v>
      </c>
      <c r="N188" s="4">
        <f t="shared" si="31"/>
        <v>1.27765605947232</v>
      </c>
      <c r="O188" s="4">
        <f t="shared" si="31"/>
        <v>1.22263188804721</v>
      </c>
      <c r="P188" s="4">
        <f t="shared" si="31"/>
        <v>1.15758192925987</v>
      </c>
      <c r="Q188" s="4">
        <f t="shared" si="31"/>
        <v>1.03059206065861</v>
      </c>
      <c r="R188" s="4">
        <f t="shared" ref="R188:AG201" si="32">(($B188-$AJ$2)*((R$2-$AJ$2)/($B$2-$AJ$2)))+$AJ$2</f>
        <v>0.859278695691428</v>
      </c>
      <c r="S188" s="4">
        <f t="shared" si="32"/>
        <v>0.804646526078645</v>
      </c>
      <c r="T188" s="4">
        <f t="shared" si="32"/>
        <v>0.685891567983292</v>
      </c>
      <c r="U188" s="4">
        <f t="shared" si="32"/>
        <v>0.56621401415813</v>
      </c>
      <c r="V188" s="4">
        <f t="shared" si="32"/>
        <v>0.543148883601275</v>
      </c>
      <c r="W188" s="4">
        <f t="shared" si="32"/>
        <v>0.473553697357605</v>
      </c>
      <c r="X188" s="4">
        <f t="shared" si="32"/>
        <v>0.438238071617269</v>
      </c>
      <c r="Y188" s="4">
        <f t="shared" si="32"/>
        <v>0.401503898658466</v>
      </c>
      <c r="Z188" s="4">
        <f t="shared" si="32"/>
        <v>0.395763786134879</v>
      </c>
      <c r="AA188" s="4">
        <f t="shared" si="32"/>
        <v>0.377951226911311</v>
      </c>
      <c r="AB188" s="4">
        <f t="shared" si="32"/>
        <v>0.35194110657793</v>
      </c>
      <c r="AC188" s="4">
        <f t="shared" si="32"/>
        <v>0.33063801534753</v>
      </c>
      <c r="AD188" s="4">
        <f t="shared" si="32"/>
        <v>0.327114655898614</v>
      </c>
      <c r="AE188" s="4">
        <f t="shared" si="32"/>
        <v>0.312745978800714</v>
      </c>
      <c r="AF188" s="4">
        <f t="shared" si="32"/>
        <v>0.304365889086634</v>
      </c>
      <c r="AG188" s="4">
        <f t="shared" si="32"/>
        <v>0.298081421946891</v>
      </c>
      <c r="AH188" s="4">
        <f t="shared" si="27"/>
        <v>0.274532061507778</v>
      </c>
      <c r="AI188" s="4">
        <f t="shared" si="27"/>
        <v>0.261243303737801</v>
      </c>
      <c r="AJ188" s="4">
        <f t="shared" si="27"/>
        <v>0.254907408174699</v>
      </c>
    </row>
    <row r="189" spans="1:36">
      <c r="A189" t="str">
        <f>"semis_procurement_archetype_"&amp;TEXT(ROUND(Table26916[[#This Row],[2016]],3),"0.0")</f>
        <v>semis_procurement_archetype_1.6</v>
      </c>
      <c r="B189" s="4">
        <f t="shared" si="24"/>
        <v>1.6</v>
      </c>
      <c r="C189" s="4">
        <f t="shared" ref="C189:R201" si="33">(($B189-$AJ$2)*((C$2-$AJ$2)/($B$2-$AJ$2)))+$AJ$2</f>
        <v>1.6</v>
      </c>
      <c r="D189" s="4">
        <f t="shared" si="33"/>
        <v>1.6</v>
      </c>
      <c r="E189" s="4">
        <f t="shared" si="33"/>
        <v>1.56739834359465</v>
      </c>
      <c r="F189" s="4">
        <f t="shared" si="33"/>
        <v>1.48858193786554</v>
      </c>
      <c r="G189" s="4">
        <f t="shared" si="33"/>
        <v>1.49960066404097</v>
      </c>
      <c r="H189" s="4">
        <f t="shared" si="33"/>
        <v>1.46538961069854</v>
      </c>
      <c r="I189" s="4">
        <f t="shared" si="33"/>
        <v>1.39921069103958</v>
      </c>
      <c r="J189" s="4">
        <f t="shared" si="33"/>
        <v>1.36203469511859</v>
      </c>
      <c r="K189" s="4">
        <f t="shared" si="33"/>
        <v>1.32387274936531</v>
      </c>
      <c r="L189" s="4">
        <f t="shared" si="33"/>
        <v>1.26359148980694</v>
      </c>
      <c r="M189" s="4">
        <f t="shared" si="33"/>
        <v>1.25627521880545</v>
      </c>
      <c r="N189" s="4">
        <f t="shared" si="33"/>
        <v>1.20688214110313</v>
      </c>
      <c r="O189" s="4">
        <f t="shared" si="33"/>
        <v>1.15566562682998</v>
      </c>
      <c r="P189" s="4">
        <f t="shared" si="33"/>
        <v>1.09511710685392</v>
      </c>
      <c r="Q189" s="4">
        <f t="shared" si="33"/>
        <v>0.976914901362949</v>
      </c>
      <c r="R189" s="4">
        <f t="shared" si="33"/>
        <v>0.817456372960305</v>
      </c>
      <c r="S189" s="4">
        <f t="shared" si="32"/>
        <v>0.766604734084571</v>
      </c>
      <c r="T189" s="4">
        <f t="shared" si="32"/>
        <v>0.656067585613815</v>
      </c>
      <c r="U189" s="4">
        <f t="shared" si="32"/>
        <v>0.544671684777684</v>
      </c>
      <c r="V189" s="4">
        <f t="shared" si="32"/>
        <v>0.523202654753579</v>
      </c>
      <c r="W189" s="4">
        <f t="shared" si="32"/>
        <v>0.458423435779921</v>
      </c>
      <c r="X189" s="4">
        <f t="shared" si="32"/>
        <v>0.425551641385764</v>
      </c>
      <c r="Y189" s="4">
        <f t="shared" si="32"/>
        <v>0.391359462840786</v>
      </c>
      <c r="Z189" s="4">
        <f t="shared" si="32"/>
        <v>0.386016564485762</v>
      </c>
      <c r="AA189" s="4">
        <f t="shared" si="32"/>
        <v>0.369436629339318</v>
      </c>
      <c r="AB189" s="4">
        <f t="shared" si="32"/>
        <v>0.345226402001065</v>
      </c>
      <c r="AC189" s="4">
        <f t="shared" si="32"/>
        <v>0.325397478678722</v>
      </c>
      <c r="AD189" s="4">
        <f t="shared" si="32"/>
        <v>0.322117934710478</v>
      </c>
      <c r="AE189" s="4">
        <f t="shared" si="32"/>
        <v>0.308743566017395</v>
      </c>
      <c r="AF189" s="4">
        <f t="shared" si="32"/>
        <v>0.300943376149282</v>
      </c>
      <c r="AG189" s="4">
        <f t="shared" si="32"/>
        <v>0.295093792364093</v>
      </c>
      <c r="AH189" s="4">
        <f t="shared" si="27"/>
        <v>0.273174041029084</v>
      </c>
      <c r="AI189" s="4">
        <f t="shared" si="27"/>
        <v>0.260804861550847</v>
      </c>
      <c r="AJ189" s="4">
        <f t="shared" si="27"/>
        <v>0.254907408174699</v>
      </c>
    </row>
    <row r="190" spans="1:36">
      <c r="A190" t="str">
        <f>"semis_procurement_archetype_"&amp;TEXT(ROUND(Table26916[[#This Row],[2016]],3),"0.0")</f>
        <v>semis_procurement_archetype_1.5</v>
      </c>
      <c r="B190" s="4">
        <f t="shared" si="24"/>
        <v>1.5</v>
      </c>
      <c r="C190" s="4">
        <f t="shared" si="33"/>
        <v>1.5</v>
      </c>
      <c r="D190" s="4">
        <f t="shared" si="33"/>
        <v>1.5</v>
      </c>
      <c r="E190" s="4">
        <f t="shared" si="33"/>
        <v>1.46982209171456</v>
      </c>
      <c r="F190" s="4">
        <f t="shared" si="33"/>
        <v>1.39686523842132</v>
      </c>
      <c r="G190" s="4">
        <f t="shared" si="33"/>
        <v>1.40706478484344</v>
      </c>
      <c r="H190" s="4">
        <f t="shared" si="33"/>
        <v>1.37539712914891</v>
      </c>
      <c r="I190" s="4">
        <f t="shared" si="33"/>
        <v>1.31413823656178</v>
      </c>
      <c r="J190" s="4">
        <f t="shared" si="33"/>
        <v>1.27972606494158</v>
      </c>
      <c r="K190" s="4">
        <f t="shared" si="33"/>
        <v>1.24440124326326</v>
      </c>
      <c r="L190" s="4">
        <f t="shared" si="33"/>
        <v>1.18860155322098</v>
      </c>
      <c r="M190" s="4">
        <f t="shared" si="33"/>
        <v>1.18182920544425</v>
      </c>
      <c r="N190" s="4">
        <f t="shared" si="33"/>
        <v>1.13610822273394</v>
      </c>
      <c r="O190" s="4">
        <f t="shared" si="33"/>
        <v>1.08869936561276</v>
      </c>
      <c r="P190" s="4">
        <f t="shared" si="33"/>
        <v>1.03265228444798</v>
      </c>
      <c r="Q190" s="4">
        <f t="shared" si="33"/>
        <v>0.923237742067285</v>
      </c>
      <c r="R190" s="4">
        <f t="shared" si="33"/>
        <v>0.775634050229182</v>
      </c>
      <c r="S190" s="4">
        <f t="shared" si="32"/>
        <v>0.728562942090498</v>
      </c>
      <c r="T190" s="4">
        <f t="shared" si="32"/>
        <v>0.626243603244338</v>
      </c>
      <c r="U190" s="4">
        <f t="shared" si="32"/>
        <v>0.523129355397238</v>
      </c>
      <c r="V190" s="4">
        <f t="shared" si="32"/>
        <v>0.503256425905883</v>
      </c>
      <c r="W190" s="4">
        <f t="shared" si="32"/>
        <v>0.443293174202236</v>
      </c>
      <c r="X190" s="4">
        <f t="shared" si="32"/>
        <v>0.412865211154259</v>
      </c>
      <c r="Y190" s="4">
        <f t="shared" si="32"/>
        <v>0.381215027023106</v>
      </c>
      <c r="Z190" s="4">
        <f t="shared" si="32"/>
        <v>0.376269342836645</v>
      </c>
      <c r="AA190" s="4">
        <f t="shared" si="32"/>
        <v>0.360922031767325</v>
      </c>
      <c r="AB190" s="4">
        <f t="shared" si="32"/>
        <v>0.3385116974242</v>
      </c>
      <c r="AC190" s="4">
        <f t="shared" si="32"/>
        <v>0.320156942009914</v>
      </c>
      <c r="AD190" s="4">
        <f t="shared" si="32"/>
        <v>0.317121213522343</v>
      </c>
      <c r="AE190" s="4">
        <f t="shared" si="32"/>
        <v>0.304741153234076</v>
      </c>
      <c r="AF190" s="4">
        <f t="shared" si="32"/>
        <v>0.29752086321193</v>
      </c>
      <c r="AG190" s="4">
        <f t="shared" si="32"/>
        <v>0.292106162781295</v>
      </c>
      <c r="AH190" s="4">
        <f t="shared" si="27"/>
        <v>0.27181602055039</v>
      </c>
      <c r="AI190" s="4">
        <f t="shared" si="27"/>
        <v>0.260366419363894</v>
      </c>
      <c r="AJ190" s="4">
        <f t="shared" si="27"/>
        <v>0.254907408174699</v>
      </c>
    </row>
    <row r="191" spans="1:36">
      <c r="A191" t="str">
        <f>"semis_procurement_archetype_"&amp;TEXT(ROUND(Table26916[[#This Row],[2016]],3),"0.0")</f>
        <v>semis_procurement_archetype_1.4</v>
      </c>
      <c r="B191" s="4">
        <f t="shared" si="24"/>
        <v>1.4</v>
      </c>
      <c r="C191" s="4">
        <f t="shared" si="33"/>
        <v>1.4</v>
      </c>
      <c r="D191" s="4">
        <f t="shared" si="33"/>
        <v>1.4</v>
      </c>
      <c r="E191" s="4">
        <f t="shared" si="33"/>
        <v>1.37224583983446</v>
      </c>
      <c r="F191" s="4">
        <f t="shared" si="33"/>
        <v>1.30514853897711</v>
      </c>
      <c r="G191" s="4">
        <f t="shared" si="33"/>
        <v>1.31452890564592</v>
      </c>
      <c r="H191" s="4">
        <f t="shared" si="33"/>
        <v>1.28540464759928</v>
      </c>
      <c r="I191" s="4">
        <f t="shared" si="33"/>
        <v>1.22906578208397</v>
      </c>
      <c r="J191" s="4">
        <f t="shared" si="33"/>
        <v>1.19741743476456</v>
      </c>
      <c r="K191" s="4">
        <f t="shared" si="33"/>
        <v>1.16492973716122</v>
      </c>
      <c r="L191" s="4">
        <f t="shared" si="33"/>
        <v>1.11361161663502</v>
      </c>
      <c r="M191" s="4">
        <f t="shared" si="33"/>
        <v>1.10738319208305</v>
      </c>
      <c r="N191" s="4">
        <f t="shared" si="33"/>
        <v>1.06533430436476</v>
      </c>
      <c r="O191" s="4">
        <f t="shared" si="33"/>
        <v>1.02173310439553</v>
      </c>
      <c r="P191" s="4">
        <f t="shared" si="33"/>
        <v>0.970187462042029</v>
      </c>
      <c r="Q191" s="4">
        <f t="shared" si="33"/>
        <v>0.86956058277162</v>
      </c>
      <c r="R191" s="4">
        <f t="shared" si="33"/>
        <v>0.733811727498058</v>
      </c>
      <c r="S191" s="4">
        <f t="shared" si="32"/>
        <v>0.690521150096425</v>
      </c>
      <c r="T191" s="4">
        <f t="shared" si="32"/>
        <v>0.596419620874862</v>
      </c>
      <c r="U191" s="4">
        <f t="shared" si="32"/>
        <v>0.501587026016792</v>
      </c>
      <c r="V191" s="4">
        <f t="shared" si="32"/>
        <v>0.483310197058187</v>
      </c>
      <c r="W191" s="4">
        <f t="shared" si="32"/>
        <v>0.428162912624552</v>
      </c>
      <c r="X191" s="4">
        <f t="shared" si="32"/>
        <v>0.400178780922753</v>
      </c>
      <c r="Y191" s="4">
        <f t="shared" si="32"/>
        <v>0.371070591205426</v>
      </c>
      <c r="Z191" s="4">
        <f t="shared" si="32"/>
        <v>0.366522121187528</v>
      </c>
      <c r="AA191" s="4">
        <f t="shared" si="32"/>
        <v>0.352407434195331</v>
      </c>
      <c r="AB191" s="4">
        <f t="shared" si="32"/>
        <v>0.331796992847335</v>
      </c>
      <c r="AC191" s="4">
        <f t="shared" si="32"/>
        <v>0.314916405341106</v>
      </c>
      <c r="AD191" s="4">
        <f t="shared" si="32"/>
        <v>0.312124492334207</v>
      </c>
      <c r="AE191" s="4">
        <f t="shared" si="32"/>
        <v>0.300738740450756</v>
      </c>
      <c r="AF191" s="4">
        <f t="shared" si="32"/>
        <v>0.294098350274578</v>
      </c>
      <c r="AG191" s="4">
        <f t="shared" si="32"/>
        <v>0.289118533198498</v>
      </c>
      <c r="AH191" s="4">
        <f t="shared" si="27"/>
        <v>0.270458000071696</v>
      </c>
      <c r="AI191" s="4">
        <f t="shared" si="27"/>
        <v>0.25992797717694</v>
      </c>
      <c r="AJ191" s="4">
        <f t="shared" si="27"/>
        <v>0.254907408174699</v>
      </c>
    </row>
    <row r="192" spans="1:36">
      <c r="A192" t="str">
        <f>"semis_procurement_archetype_"&amp;TEXT(ROUND(Table26916[[#This Row],[2016]],3),"0.0")</f>
        <v>semis_procurement_archetype_1.3</v>
      </c>
      <c r="B192" s="4">
        <f t="shared" si="24"/>
        <v>1.3</v>
      </c>
      <c r="C192" s="4">
        <f t="shared" si="33"/>
        <v>1.3</v>
      </c>
      <c r="D192" s="4">
        <f t="shared" si="33"/>
        <v>1.3</v>
      </c>
      <c r="E192" s="4">
        <f t="shared" si="33"/>
        <v>1.27466958795437</v>
      </c>
      <c r="F192" s="4">
        <f t="shared" si="33"/>
        <v>1.21343183953289</v>
      </c>
      <c r="G192" s="4">
        <f t="shared" si="33"/>
        <v>1.2219930264484</v>
      </c>
      <c r="H192" s="4">
        <f t="shared" si="33"/>
        <v>1.19541216604965</v>
      </c>
      <c r="I192" s="4">
        <f t="shared" si="33"/>
        <v>1.14399332760617</v>
      </c>
      <c r="J192" s="4">
        <f t="shared" si="33"/>
        <v>1.11510880458755</v>
      </c>
      <c r="K192" s="4">
        <f t="shared" si="33"/>
        <v>1.08545823105917</v>
      </c>
      <c r="L192" s="4">
        <f t="shared" si="33"/>
        <v>1.03862168004906</v>
      </c>
      <c r="M192" s="4">
        <f t="shared" si="33"/>
        <v>1.03293717872185</v>
      </c>
      <c r="N192" s="4">
        <f t="shared" si="33"/>
        <v>0.994560385995569</v>
      </c>
      <c r="O192" s="4">
        <f t="shared" si="33"/>
        <v>0.954766843178307</v>
      </c>
      <c r="P192" s="4">
        <f t="shared" si="33"/>
        <v>0.907722639636082</v>
      </c>
      <c r="Q192" s="4">
        <f t="shared" si="33"/>
        <v>0.815883423475956</v>
      </c>
      <c r="R192" s="4">
        <f t="shared" si="33"/>
        <v>0.691989404766935</v>
      </c>
      <c r="S192" s="4">
        <f t="shared" si="32"/>
        <v>0.652479358102351</v>
      </c>
      <c r="T192" s="4">
        <f t="shared" si="32"/>
        <v>0.566595638505385</v>
      </c>
      <c r="U192" s="4">
        <f t="shared" si="32"/>
        <v>0.480044696636346</v>
      </c>
      <c r="V192" s="4">
        <f t="shared" si="32"/>
        <v>0.463363968210491</v>
      </c>
      <c r="W192" s="4">
        <f t="shared" si="32"/>
        <v>0.413032651046868</v>
      </c>
      <c r="X192" s="4">
        <f t="shared" si="32"/>
        <v>0.387492350691248</v>
      </c>
      <c r="Y192" s="4">
        <f t="shared" si="32"/>
        <v>0.360926155387746</v>
      </c>
      <c r="Z192" s="4">
        <f t="shared" si="32"/>
        <v>0.356774899538411</v>
      </c>
      <c r="AA192" s="4">
        <f t="shared" si="32"/>
        <v>0.343892836623338</v>
      </c>
      <c r="AB192" s="4">
        <f t="shared" si="32"/>
        <v>0.32508228827047</v>
      </c>
      <c r="AC192" s="4">
        <f t="shared" si="32"/>
        <v>0.309675868672298</v>
      </c>
      <c r="AD192" s="4">
        <f t="shared" si="32"/>
        <v>0.307127771146071</v>
      </c>
      <c r="AE192" s="4">
        <f t="shared" si="32"/>
        <v>0.296736327667437</v>
      </c>
      <c r="AF192" s="4">
        <f t="shared" si="32"/>
        <v>0.290675837337226</v>
      </c>
      <c r="AG192" s="4">
        <f t="shared" si="32"/>
        <v>0.2861309036157</v>
      </c>
      <c r="AH192" s="4">
        <f t="shared" si="27"/>
        <v>0.269099979593002</v>
      </c>
      <c r="AI192" s="4">
        <f t="shared" si="27"/>
        <v>0.259489534989987</v>
      </c>
      <c r="AJ192" s="4">
        <f t="shared" si="27"/>
        <v>0.254907408174699</v>
      </c>
    </row>
    <row r="193" spans="1:36">
      <c r="A193" t="str">
        <f>"semis_procurement_archetype_"&amp;TEXT(ROUND(Table26916[[#This Row],[2016]],3),"0.0")</f>
        <v>semis_procurement_archetype_1.2</v>
      </c>
      <c r="B193" s="4">
        <f t="shared" si="24"/>
        <v>1.2</v>
      </c>
      <c r="C193" s="4">
        <f t="shared" si="33"/>
        <v>1.2</v>
      </c>
      <c r="D193" s="4">
        <f t="shared" si="33"/>
        <v>1.2</v>
      </c>
      <c r="E193" s="4">
        <f t="shared" si="33"/>
        <v>1.17709333607427</v>
      </c>
      <c r="F193" s="4">
        <f t="shared" si="33"/>
        <v>1.12171514008867</v>
      </c>
      <c r="G193" s="4">
        <f t="shared" si="33"/>
        <v>1.12945714725088</v>
      </c>
      <c r="H193" s="4">
        <f t="shared" si="33"/>
        <v>1.10541968450002</v>
      </c>
      <c r="I193" s="4">
        <f t="shared" si="33"/>
        <v>1.05892087312837</v>
      </c>
      <c r="J193" s="4">
        <f t="shared" si="33"/>
        <v>1.03280017441054</v>
      </c>
      <c r="K193" s="4">
        <f t="shared" si="33"/>
        <v>1.00598672495713</v>
      </c>
      <c r="L193" s="4">
        <f t="shared" si="33"/>
        <v>0.963631743463096</v>
      </c>
      <c r="M193" s="4">
        <f t="shared" si="33"/>
        <v>0.958491165360655</v>
      </c>
      <c r="N193" s="4">
        <f t="shared" si="33"/>
        <v>0.923786467626381</v>
      </c>
      <c r="O193" s="4">
        <f t="shared" si="33"/>
        <v>0.887800581961081</v>
      </c>
      <c r="P193" s="4">
        <f t="shared" si="33"/>
        <v>0.845257817230135</v>
      </c>
      <c r="Q193" s="4">
        <f t="shared" si="33"/>
        <v>0.762206264180291</v>
      </c>
      <c r="R193" s="4">
        <f t="shared" si="33"/>
        <v>0.650167082035812</v>
      </c>
      <c r="S193" s="4">
        <f t="shared" si="32"/>
        <v>0.614437566108278</v>
      </c>
      <c r="T193" s="4">
        <f t="shared" si="32"/>
        <v>0.536771656135908</v>
      </c>
      <c r="U193" s="4">
        <f t="shared" si="32"/>
        <v>0.4585023672559</v>
      </c>
      <c r="V193" s="4">
        <f t="shared" si="32"/>
        <v>0.443417739362795</v>
      </c>
      <c r="W193" s="4">
        <f t="shared" si="32"/>
        <v>0.397902389469184</v>
      </c>
      <c r="X193" s="4">
        <f t="shared" si="32"/>
        <v>0.374805920459742</v>
      </c>
      <c r="Y193" s="4">
        <f t="shared" si="32"/>
        <v>0.350781719570066</v>
      </c>
      <c r="Z193" s="4">
        <f t="shared" si="32"/>
        <v>0.347027677889294</v>
      </c>
      <c r="AA193" s="4">
        <f t="shared" si="32"/>
        <v>0.335378239051345</v>
      </c>
      <c r="AB193" s="4">
        <f t="shared" si="32"/>
        <v>0.318367583693605</v>
      </c>
      <c r="AC193" s="4">
        <f t="shared" si="32"/>
        <v>0.304435332003491</v>
      </c>
      <c r="AD193" s="4">
        <f t="shared" si="32"/>
        <v>0.302131049957935</v>
      </c>
      <c r="AE193" s="4">
        <f t="shared" si="32"/>
        <v>0.292733914884118</v>
      </c>
      <c r="AF193" s="4">
        <f t="shared" si="32"/>
        <v>0.287253324399874</v>
      </c>
      <c r="AG193" s="4">
        <f t="shared" si="32"/>
        <v>0.283143274032902</v>
      </c>
      <c r="AH193" s="4">
        <f t="shared" si="27"/>
        <v>0.267741959114308</v>
      </c>
      <c r="AI193" s="4">
        <f t="shared" si="27"/>
        <v>0.259051092803033</v>
      </c>
      <c r="AJ193" s="4">
        <f t="shared" si="27"/>
        <v>0.254907408174699</v>
      </c>
    </row>
    <row r="194" spans="1:36">
      <c r="A194" t="str">
        <f>"semis_procurement_archetype_"&amp;TEXT(ROUND(Table26916[[#This Row],[2016]],3),"0.0")</f>
        <v>semis_procurement_archetype_1.1</v>
      </c>
      <c r="B194" s="4">
        <f t="shared" si="24"/>
        <v>1.1</v>
      </c>
      <c r="C194" s="4">
        <f t="shared" si="33"/>
        <v>1.1</v>
      </c>
      <c r="D194" s="4">
        <f t="shared" si="33"/>
        <v>1.1</v>
      </c>
      <c r="E194" s="4">
        <f t="shared" si="33"/>
        <v>1.07951708419418</v>
      </c>
      <c r="F194" s="4">
        <f t="shared" si="33"/>
        <v>1.02999844064446</v>
      </c>
      <c r="G194" s="4">
        <f t="shared" si="33"/>
        <v>1.03692126805336</v>
      </c>
      <c r="H194" s="4">
        <f t="shared" si="33"/>
        <v>1.01542720295039</v>
      </c>
      <c r="I194" s="4">
        <f t="shared" si="33"/>
        <v>0.973848418650565</v>
      </c>
      <c r="J194" s="4">
        <f t="shared" si="33"/>
        <v>0.950491544233523</v>
      </c>
      <c r="K194" s="4">
        <f t="shared" si="33"/>
        <v>0.92651521885508</v>
      </c>
      <c r="L194" s="4">
        <f t="shared" si="33"/>
        <v>0.888641806877136</v>
      </c>
      <c r="M194" s="4">
        <f t="shared" si="33"/>
        <v>0.884045151999457</v>
      </c>
      <c r="N194" s="4">
        <f t="shared" si="33"/>
        <v>0.853012549257193</v>
      </c>
      <c r="O194" s="4">
        <f t="shared" si="33"/>
        <v>0.820834320743855</v>
      </c>
      <c r="P194" s="4">
        <f t="shared" si="33"/>
        <v>0.782792994824188</v>
      </c>
      <c r="Q194" s="4">
        <f t="shared" si="33"/>
        <v>0.708529104884627</v>
      </c>
      <c r="R194" s="4">
        <f t="shared" si="33"/>
        <v>0.608344759304689</v>
      </c>
      <c r="S194" s="4">
        <f t="shared" si="32"/>
        <v>0.576395774114204</v>
      </c>
      <c r="T194" s="4">
        <f t="shared" si="32"/>
        <v>0.506947673766431</v>
      </c>
      <c r="U194" s="4">
        <f t="shared" si="32"/>
        <v>0.436960037875454</v>
      </c>
      <c r="V194" s="4">
        <f t="shared" si="32"/>
        <v>0.423471510515099</v>
      </c>
      <c r="W194" s="4">
        <f t="shared" si="32"/>
        <v>0.382772127891499</v>
      </c>
      <c r="X194" s="4">
        <f t="shared" si="32"/>
        <v>0.362119490228237</v>
      </c>
      <c r="Y194" s="4">
        <f t="shared" si="32"/>
        <v>0.340637283752386</v>
      </c>
      <c r="Z194" s="4">
        <f t="shared" si="32"/>
        <v>0.337280456240177</v>
      </c>
      <c r="AA194" s="4">
        <f t="shared" si="32"/>
        <v>0.326863641479351</v>
      </c>
      <c r="AB194" s="4">
        <f t="shared" si="32"/>
        <v>0.31165287911674</v>
      </c>
      <c r="AC194" s="4">
        <f t="shared" si="32"/>
        <v>0.299194795334683</v>
      </c>
      <c r="AD194" s="4">
        <f t="shared" si="32"/>
        <v>0.2971343287698</v>
      </c>
      <c r="AE194" s="4">
        <f t="shared" si="32"/>
        <v>0.288731502100799</v>
      </c>
      <c r="AF194" s="4">
        <f t="shared" si="32"/>
        <v>0.283830811462522</v>
      </c>
      <c r="AG194" s="4">
        <f t="shared" si="32"/>
        <v>0.280155644450104</v>
      </c>
      <c r="AH194" s="4">
        <f t="shared" si="27"/>
        <v>0.266383938635613</v>
      </c>
      <c r="AI194" s="4">
        <f t="shared" si="27"/>
        <v>0.25861265061608</v>
      </c>
      <c r="AJ194" s="4">
        <f t="shared" si="27"/>
        <v>0.254907408174699</v>
      </c>
    </row>
    <row r="195" spans="1:36">
      <c r="A195" t="str">
        <f>"semis_procurement_archetype_"&amp;TEXT(ROUND(Table26916[[#This Row],[2016]],3),"0.0")</f>
        <v>semis_procurement_archetype_1.0</v>
      </c>
      <c r="B195" s="4">
        <f t="shared" si="24"/>
        <v>1</v>
      </c>
      <c r="C195" s="4">
        <f t="shared" si="33"/>
        <v>1</v>
      </c>
      <c r="D195" s="4">
        <f t="shared" si="33"/>
        <v>1</v>
      </c>
      <c r="E195" s="4">
        <f t="shared" si="33"/>
        <v>0.981940832314081</v>
      </c>
      <c r="F195" s="4">
        <f t="shared" si="33"/>
        <v>0.938281741200238</v>
      </c>
      <c r="G195" s="4">
        <f t="shared" si="33"/>
        <v>0.944385388855839</v>
      </c>
      <c r="H195" s="4">
        <f t="shared" si="33"/>
        <v>0.925434721400754</v>
      </c>
      <c r="I195" s="4">
        <f t="shared" si="33"/>
        <v>0.888775964172762</v>
      </c>
      <c r="J195" s="4">
        <f t="shared" si="33"/>
        <v>0.86818291405651</v>
      </c>
      <c r="K195" s="4">
        <f t="shared" si="33"/>
        <v>0.847043712753034</v>
      </c>
      <c r="L195" s="4">
        <f t="shared" si="33"/>
        <v>0.813651870291177</v>
      </c>
      <c r="M195" s="4">
        <f t="shared" si="33"/>
        <v>0.809599138638259</v>
      </c>
      <c r="N195" s="4">
        <f t="shared" si="33"/>
        <v>0.782238630888005</v>
      </c>
      <c r="O195" s="4">
        <f t="shared" si="33"/>
        <v>0.753868059526629</v>
      </c>
      <c r="P195" s="4">
        <f t="shared" si="33"/>
        <v>0.720328172418241</v>
      </c>
      <c r="Q195" s="4">
        <f t="shared" si="33"/>
        <v>0.654851945588962</v>
      </c>
      <c r="R195" s="4">
        <f t="shared" si="33"/>
        <v>0.566522436573566</v>
      </c>
      <c r="S195" s="4">
        <f t="shared" si="32"/>
        <v>0.538353982120131</v>
      </c>
      <c r="T195" s="4">
        <f t="shared" si="32"/>
        <v>0.477123691396954</v>
      </c>
      <c r="U195" s="4">
        <f t="shared" si="32"/>
        <v>0.415417708495008</v>
      </c>
      <c r="V195" s="4">
        <f t="shared" si="32"/>
        <v>0.403525281667403</v>
      </c>
      <c r="W195" s="4">
        <f t="shared" si="32"/>
        <v>0.367641866313815</v>
      </c>
      <c r="X195" s="4">
        <f t="shared" si="32"/>
        <v>0.349433059996731</v>
      </c>
      <c r="Y195" s="4">
        <f t="shared" si="32"/>
        <v>0.330492847934706</v>
      </c>
      <c r="Z195" s="4">
        <f t="shared" si="32"/>
        <v>0.327533234591061</v>
      </c>
      <c r="AA195" s="4">
        <f t="shared" si="32"/>
        <v>0.318349043907358</v>
      </c>
      <c r="AB195" s="4">
        <f t="shared" si="32"/>
        <v>0.304938174539875</v>
      </c>
      <c r="AC195" s="4">
        <f t="shared" si="32"/>
        <v>0.293954258665875</v>
      </c>
      <c r="AD195" s="4">
        <f t="shared" si="32"/>
        <v>0.292137607581664</v>
      </c>
      <c r="AE195" s="4">
        <f t="shared" si="32"/>
        <v>0.284729089317479</v>
      </c>
      <c r="AF195" s="4">
        <f t="shared" si="32"/>
        <v>0.280408298525171</v>
      </c>
      <c r="AG195" s="4">
        <f t="shared" si="32"/>
        <v>0.277168014867306</v>
      </c>
      <c r="AH195" s="4">
        <f t="shared" si="27"/>
        <v>0.265025918156919</v>
      </c>
      <c r="AI195" s="4">
        <f t="shared" si="27"/>
        <v>0.258174208429126</v>
      </c>
      <c r="AJ195" s="4">
        <f t="shared" si="27"/>
        <v>0.254907408174699</v>
      </c>
    </row>
    <row r="196" spans="1:36">
      <c r="A196" t="str">
        <f>"semis_procurement_archetype_"&amp;TEXT(ROUND(Table26916[[#This Row],[2016]],3),"0.0")</f>
        <v>semis_procurement_archetype_0.9</v>
      </c>
      <c r="B196" s="4">
        <f t="shared" si="24"/>
        <v>0.9</v>
      </c>
      <c r="C196" s="4">
        <f t="shared" si="33"/>
        <v>0.9</v>
      </c>
      <c r="D196" s="4">
        <f t="shared" si="33"/>
        <v>0.9</v>
      </c>
      <c r="E196" s="4">
        <f t="shared" si="33"/>
        <v>0.884364580433986</v>
      </c>
      <c r="F196" s="4">
        <f t="shared" si="33"/>
        <v>0.846565041756021</v>
      </c>
      <c r="G196" s="4">
        <f t="shared" si="33"/>
        <v>0.851849509658318</v>
      </c>
      <c r="H196" s="4">
        <f t="shared" si="33"/>
        <v>0.835442239851122</v>
      </c>
      <c r="I196" s="4">
        <f t="shared" si="33"/>
        <v>0.803703509694959</v>
      </c>
      <c r="J196" s="4">
        <f t="shared" si="33"/>
        <v>0.785874283879496</v>
      </c>
      <c r="K196" s="4">
        <f t="shared" si="33"/>
        <v>0.767572206650988</v>
      </c>
      <c r="L196" s="4">
        <f t="shared" si="33"/>
        <v>0.738661933705217</v>
      </c>
      <c r="M196" s="4">
        <f t="shared" si="33"/>
        <v>0.735153125277061</v>
      </c>
      <c r="N196" s="4">
        <f t="shared" si="33"/>
        <v>0.711464712518817</v>
      </c>
      <c r="O196" s="4">
        <f t="shared" si="33"/>
        <v>0.686901798309403</v>
      </c>
      <c r="P196" s="4">
        <f t="shared" si="33"/>
        <v>0.657863350012294</v>
      </c>
      <c r="Q196" s="4">
        <f t="shared" si="33"/>
        <v>0.601174786293297</v>
      </c>
      <c r="R196" s="4">
        <f t="shared" si="33"/>
        <v>0.524700113842443</v>
      </c>
      <c r="S196" s="4">
        <f t="shared" si="32"/>
        <v>0.500312190126057</v>
      </c>
      <c r="T196" s="4">
        <f t="shared" si="32"/>
        <v>0.447299709027478</v>
      </c>
      <c r="U196" s="4">
        <f t="shared" si="32"/>
        <v>0.393875379114562</v>
      </c>
      <c r="V196" s="4">
        <f t="shared" si="32"/>
        <v>0.383579052819707</v>
      </c>
      <c r="W196" s="4">
        <f t="shared" si="32"/>
        <v>0.35251160473613</v>
      </c>
      <c r="X196" s="4">
        <f t="shared" si="32"/>
        <v>0.336746629765226</v>
      </c>
      <c r="Y196" s="4">
        <f t="shared" si="32"/>
        <v>0.320348412117026</v>
      </c>
      <c r="Z196" s="4">
        <f t="shared" si="32"/>
        <v>0.317786012941944</v>
      </c>
      <c r="AA196" s="4">
        <f t="shared" si="32"/>
        <v>0.309834446335365</v>
      </c>
      <c r="AB196" s="4">
        <f t="shared" si="32"/>
        <v>0.29822346996301</v>
      </c>
      <c r="AC196" s="4">
        <f t="shared" si="32"/>
        <v>0.288713721997067</v>
      </c>
      <c r="AD196" s="4">
        <f t="shared" si="32"/>
        <v>0.287140886393528</v>
      </c>
      <c r="AE196" s="4">
        <f t="shared" si="32"/>
        <v>0.28072667653416</v>
      </c>
      <c r="AF196" s="4">
        <f t="shared" si="32"/>
        <v>0.276985785587819</v>
      </c>
      <c r="AG196" s="4">
        <f t="shared" si="32"/>
        <v>0.274180385284509</v>
      </c>
      <c r="AH196" s="4">
        <f t="shared" si="27"/>
        <v>0.263667897678225</v>
      </c>
      <c r="AI196" s="4">
        <f t="shared" si="27"/>
        <v>0.257735766242173</v>
      </c>
      <c r="AJ196" s="4">
        <f t="shared" si="27"/>
        <v>0.254907408174699</v>
      </c>
    </row>
    <row r="197" spans="1:36">
      <c r="A197" t="str">
        <f>"semis_procurement_archetype_"&amp;TEXT(ROUND(Table26916[[#This Row],[2016]],3),"0.0")</f>
        <v>semis_procurement_archetype_0.8</v>
      </c>
      <c r="B197" s="4">
        <f t="shared" si="24"/>
        <v>0.8</v>
      </c>
      <c r="C197" s="4">
        <f t="shared" si="33"/>
        <v>0.8</v>
      </c>
      <c r="D197" s="4">
        <f t="shared" si="33"/>
        <v>0.8</v>
      </c>
      <c r="E197" s="4">
        <f t="shared" si="33"/>
        <v>0.786788328553892</v>
      </c>
      <c r="F197" s="4">
        <f t="shared" si="33"/>
        <v>0.754848342311804</v>
      </c>
      <c r="G197" s="4">
        <f t="shared" si="33"/>
        <v>0.759313630460796</v>
      </c>
      <c r="H197" s="4">
        <f t="shared" si="33"/>
        <v>0.745449758301491</v>
      </c>
      <c r="I197" s="4">
        <f t="shared" si="33"/>
        <v>0.718631055217156</v>
      </c>
      <c r="J197" s="4">
        <f t="shared" si="33"/>
        <v>0.703565653702483</v>
      </c>
      <c r="K197" s="4">
        <f t="shared" si="33"/>
        <v>0.688100700548943</v>
      </c>
      <c r="L197" s="4">
        <f t="shared" si="33"/>
        <v>0.663671997119257</v>
      </c>
      <c r="M197" s="4">
        <f t="shared" si="33"/>
        <v>0.660707111915863</v>
      </c>
      <c r="N197" s="4">
        <f t="shared" si="33"/>
        <v>0.640690794149629</v>
      </c>
      <c r="O197" s="4">
        <f t="shared" si="33"/>
        <v>0.619935537092177</v>
      </c>
      <c r="P197" s="4">
        <f t="shared" si="33"/>
        <v>0.595398527606347</v>
      </c>
      <c r="Q197" s="4">
        <f t="shared" si="33"/>
        <v>0.547497626997633</v>
      </c>
      <c r="R197" s="4">
        <f t="shared" si="33"/>
        <v>0.48287779111132</v>
      </c>
      <c r="S197" s="4">
        <f t="shared" si="32"/>
        <v>0.462270398131984</v>
      </c>
      <c r="T197" s="4">
        <f t="shared" si="32"/>
        <v>0.417475726658001</v>
      </c>
      <c r="U197" s="4">
        <f t="shared" si="32"/>
        <v>0.372333049734116</v>
      </c>
      <c r="V197" s="4">
        <f t="shared" si="32"/>
        <v>0.363632823972011</v>
      </c>
      <c r="W197" s="4">
        <f t="shared" si="32"/>
        <v>0.337381343158446</v>
      </c>
      <c r="X197" s="4">
        <f t="shared" si="32"/>
        <v>0.32406019953372</v>
      </c>
      <c r="Y197" s="4">
        <f t="shared" si="32"/>
        <v>0.310203976299345</v>
      </c>
      <c r="Z197" s="4">
        <f t="shared" si="32"/>
        <v>0.308038791292827</v>
      </c>
      <c r="AA197" s="4">
        <f t="shared" si="32"/>
        <v>0.301319848763371</v>
      </c>
      <c r="AB197" s="4">
        <f t="shared" si="32"/>
        <v>0.291508765386145</v>
      </c>
      <c r="AC197" s="4">
        <f t="shared" si="32"/>
        <v>0.283473185328259</v>
      </c>
      <c r="AD197" s="4">
        <f t="shared" si="32"/>
        <v>0.282144165205392</v>
      </c>
      <c r="AE197" s="4">
        <f t="shared" si="32"/>
        <v>0.276724263750841</v>
      </c>
      <c r="AF197" s="4">
        <f t="shared" si="32"/>
        <v>0.273563272650467</v>
      </c>
      <c r="AG197" s="4">
        <f t="shared" si="32"/>
        <v>0.271192755701711</v>
      </c>
      <c r="AH197" s="4">
        <f t="shared" si="27"/>
        <v>0.262309877199531</v>
      </c>
      <c r="AI197" s="4">
        <f t="shared" si="27"/>
        <v>0.257297324055219</v>
      </c>
      <c r="AJ197" s="4">
        <f t="shared" si="27"/>
        <v>0.254907408174699</v>
      </c>
    </row>
    <row r="198" spans="1:36">
      <c r="A198" t="str">
        <f>"semis_procurement_archetype_"&amp;TEXT(ROUND(Table26916[[#This Row],[2016]],3),"0.0")</f>
        <v>semis_procurement_archetype_0.7</v>
      </c>
      <c r="B198" s="4">
        <f t="shared" si="24"/>
        <v>0.7</v>
      </c>
      <c r="C198" s="4">
        <f t="shared" si="33"/>
        <v>0.7</v>
      </c>
      <c r="D198" s="4">
        <f t="shared" si="33"/>
        <v>0.7</v>
      </c>
      <c r="E198" s="4">
        <f t="shared" si="33"/>
        <v>0.689212076673797</v>
      </c>
      <c r="F198" s="4">
        <f t="shared" si="33"/>
        <v>0.663131642867587</v>
      </c>
      <c r="G198" s="4">
        <f t="shared" si="33"/>
        <v>0.666777751263275</v>
      </c>
      <c r="H198" s="4">
        <f t="shared" si="33"/>
        <v>0.655457276751859</v>
      </c>
      <c r="I198" s="4">
        <f t="shared" si="33"/>
        <v>0.633558600739353</v>
      </c>
      <c r="J198" s="4">
        <f t="shared" si="33"/>
        <v>0.62125702352547</v>
      </c>
      <c r="K198" s="4">
        <f t="shared" si="33"/>
        <v>0.608629194446897</v>
      </c>
      <c r="L198" s="4">
        <f t="shared" si="33"/>
        <v>0.588682060533297</v>
      </c>
      <c r="M198" s="4">
        <f t="shared" si="33"/>
        <v>0.586261098554665</v>
      </c>
      <c r="N198" s="4">
        <f t="shared" si="33"/>
        <v>0.569916875780441</v>
      </c>
      <c r="O198" s="4">
        <f t="shared" si="33"/>
        <v>0.552969275874951</v>
      </c>
      <c r="P198" s="4">
        <f t="shared" si="33"/>
        <v>0.5329337052004</v>
      </c>
      <c r="Q198" s="4">
        <f t="shared" si="33"/>
        <v>0.493820467701968</v>
      </c>
      <c r="R198" s="4">
        <f t="shared" si="33"/>
        <v>0.441055468380197</v>
      </c>
      <c r="S198" s="4">
        <f t="shared" si="32"/>
        <v>0.42422860613791</v>
      </c>
      <c r="T198" s="4">
        <f t="shared" si="32"/>
        <v>0.387651744288524</v>
      </c>
      <c r="U198" s="4">
        <f t="shared" si="32"/>
        <v>0.35079072035367</v>
      </c>
      <c r="V198" s="4">
        <f t="shared" si="32"/>
        <v>0.343686595124315</v>
      </c>
      <c r="W198" s="4">
        <f t="shared" si="32"/>
        <v>0.322251081580762</v>
      </c>
      <c r="X198" s="4">
        <f t="shared" si="32"/>
        <v>0.311373769302215</v>
      </c>
      <c r="Y198" s="4">
        <f t="shared" si="32"/>
        <v>0.300059540481665</v>
      </c>
      <c r="Z198" s="4">
        <f t="shared" si="32"/>
        <v>0.29829156964371</v>
      </c>
      <c r="AA198" s="4">
        <f t="shared" si="32"/>
        <v>0.292805251191378</v>
      </c>
      <c r="AB198" s="4">
        <f t="shared" si="32"/>
        <v>0.28479406080928</v>
      </c>
      <c r="AC198" s="4">
        <f t="shared" si="32"/>
        <v>0.278232648659451</v>
      </c>
      <c r="AD198" s="4">
        <f t="shared" si="32"/>
        <v>0.277147444017256</v>
      </c>
      <c r="AE198" s="4">
        <f t="shared" si="32"/>
        <v>0.272721850967522</v>
      </c>
      <c r="AF198" s="4">
        <f t="shared" si="32"/>
        <v>0.270140759713115</v>
      </c>
      <c r="AG198" s="4">
        <f t="shared" si="32"/>
        <v>0.268205126118913</v>
      </c>
      <c r="AH198" s="4">
        <f t="shared" si="27"/>
        <v>0.260951856720837</v>
      </c>
      <c r="AI198" s="4">
        <f t="shared" si="27"/>
        <v>0.256858881868266</v>
      </c>
      <c r="AJ198" s="4">
        <f t="shared" si="27"/>
        <v>0.254907408174699</v>
      </c>
    </row>
    <row r="199" spans="1:36">
      <c r="A199" t="str">
        <f>"semis_procurement_archetype_"&amp;TEXT(ROUND(Table26916[[#This Row],[2016]],3),"0.0")</f>
        <v>semis_procurement_archetype_0.6</v>
      </c>
      <c r="B199" s="4">
        <f t="shared" ref="B199:B201" si="34">MROUND(B198-0.1,0.1)</f>
        <v>0.6</v>
      </c>
      <c r="C199" s="4">
        <f t="shared" si="33"/>
        <v>0.6</v>
      </c>
      <c r="D199" s="4">
        <f t="shared" si="33"/>
        <v>0.6</v>
      </c>
      <c r="E199" s="4">
        <f t="shared" si="33"/>
        <v>0.591635824793702</v>
      </c>
      <c r="F199" s="4">
        <f t="shared" si="33"/>
        <v>0.57141494342337</v>
      </c>
      <c r="G199" s="4">
        <f t="shared" si="33"/>
        <v>0.574241872065754</v>
      </c>
      <c r="H199" s="4">
        <f t="shared" si="33"/>
        <v>0.565464795202228</v>
      </c>
      <c r="I199" s="4">
        <f t="shared" si="33"/>
        <v>0.548486146261549</v>
      </c>
      <c r="J199" s="4">
        <f t="shared" si="33"/>
        <v>0.538948393348456</v>
      </c>
      <c r="K199" s="4">
        <f t="shared" si="33"/>
        <v>0.529157688344851</v>
      </c>
      <c r="L199" s="4">
        <f t="shared" si="33"/>
        <v>0.513692123947337</v>
      </c>
      <c r="M199" s="4">
        <f t="shared" si="33"/>
        <v>0.511815085193467</v>
      </c>
      <c r="N199" s="4">
        <f t="shared" si="33"/>
        <v>0.499142957411253</v>
      </c>
      <c r="O199" s="4">
        <f t="shared" si="33"/>
        <v>0.486003014657725</v>
      </c>
      <c r="P199" s="4">
        <f t="shared" si="33"/>
        <v>0.470468882794453</v>
      </c>
      <c r="Q199" s="4">
        <f t="shared" si="33"/>
        <v>0.440143308406303</v>
      </c>
      <c r="R199" s="4">
        <f t="shared" si="33"/>
        <v>0.399233145649074</v>
      </c>
      <c r="S199" s="4">
        <f t="shared" si="32"/>
        <v>0.386186814143837</v>
      </c>
      <c r="T199" s="4">
        <f t="shared" si="32"/>
        <v>0.357827761919047</v>
      </c>
      <c r="U199" s="4">
        <f t="shared" si="32"/>
        <v>0.329248390973224</v>
      </c>
      <c r="V199" s="4">
        <f t="shared" si="32"/>
        <v>0.323740366276619</v>
      </c>
      <c r="W199" s="4">
        <f t="shared" si="32"/>
        <v>0.307120820003077</v>
      </c>
      <c r="X199" s="4">
        <f t="shared" si="32"/>
        <v>0.29868733907071</v>
      </c>
      <c r="Y199" s="4">
        <f t="shared" si="32"/>
        <v>0.289915104663985</v>
      </c>
      <c r="Z199" s="4">
        <f t="shared" si="32"/>
        <v>0.288544347994593</v>
      </c>
      <c r="AA199" s="4">
        <f t="shared" si="32"/>
        <v>0.284290653619385</v>
      </c>
      <c r="AB199" s="4">
        <f t="shared" si="32"/>
        <v>0.278079356232415</v>
      </c>
      <c r="AC199" s="4">
        <f t="shared" si="32"/>
        <v>0.272992111990643</v>
      </c>
      <c r="AD199" s="4">
        <f t="shared" si="32"/>
        <v>0.272150722829121</v>
      </c>
      <c r="AE199" s="4">
        <f t="shared" si="32"/>
        <v>0.268719438184202</v>
      </c>
      <c r="AF199" s="4">
        <f t="shared" si="32"/>
        <v>0.266718246775763</v>
      </c>
      <c r="AG199" s="4">
        <f t="shared" si="32"/>
        <v>0.265217496536115</v>
      </c>
      <c r="AH199" s="4">
        <f t="shared" si="27"/>
        <v>0.259593836242143</v>
      </c>
      <c r="AI199" s="4">
        <f t="shared" si="27"/>
        <v>0.256420439681312</v>
      </c>
      <c r="AJ199" s="4">
        <f t="shared" si="27"/>
        <v>0.254907408174699</v>
      </c>
    </row>
    <row r="200" spans="1:36">
      <c r="A200" t="str">
        <f>"semis_procurement_archetype_"&amp;TEXT(ROUND(Table26916[[#This Row],[2016]],3),"0.0")</f>
        <v>semis_procurement_archetype_0.5</v>
      </c>
      <c r="B200" s="4">
        <f t="shared" si="34"/>
        <v>0.5</v>
      </c>
      <c r="C200" s="4">
        <f t="shared" si="33"/>
        <v>0.5</v>
      </c>
      <c r="D200" s="4">
        <f t="shared" si="33"/>
        <v>0.5</v>
      </c>
      <c r="E200" s="4">
        <f t="shared" si="33"/>
        <v>0.494059572913607</v>
      </c>
      <c r="F200" s="4">
        <f t="shared" si="33"/>
        <v>0.479698243979152</v>
      </c>
      <c r="G200" s="4">
        <f t="shared" si="33"/>
        <v>0.481705992868233</v>
      </c>
      <c r="H200" s="4">
        <f t="shared" si="33"/>
        <v>0.475472313652597</v>
      </c>
      <c r="I200" s="4">
        <f t="shared" si="33"/>
        <v>0.463413691783746</v>
      </c>
      <c r="J200" s="4">
        <f t="shared" si="33"/>
        <v>0.456639763171443</v>
      </c>
      <c r="K200" s="4">
        <f t="shared" si="33"/>
        <v>0.449686182242805</v>
      </c>
      <c r="L200" s="4">
        <f t="shared" si="33"/>
        <v>0.438702187361378</v>
      </c>
      <c r="M200" s="4">
        <f t="shared" si="33"/>
        <v>0.437369071832269</v>
      </c>
      <c r="N200" s="4">
        <f t="shared" si="33"/>
        <v>0.428369039042065</v>
      </c>
      <c r="O200" s="4">
        <f t="shared" si="33"/>
        <v>0.419036753440499</v>
      </c>
      <c r="P200" s="4">
        <f t="shared" si="33"/>
        <v>0.408004060388506</v>
      </c>
      <c r="Q200" s="4">
        <f t="shared" si="33"/>
        <v>0.386466149110639</v>
      </c>
      <c r="R200" s="4">
        <f t="shared" si="33"/>
        <v>0.357410822917951</v>
      </c>
      <c r="S200" s="4">
        <f t="shared" si="32"/>
        <v>0.348145022149763</v>
      </c>
      <c r="T200" s="4">
        <f t="shared" si="32"/>
        <v>0.32800377954957</v>
      </c>
      <c r="U200" s="4">
        <f t="shared" si="32"/>
        <v>0.307706061592778</v>
      </c>
      <c r="V200" s="4">
        <f t="shared" si="32"/>
        <v>0.303794137428923</v>
      </c>
      <c r="W200" s="4">
        <f t="shared" si="32"/>
        <v>0.291990558425393</v>
      </c>
      <c r="X200" s="4">
        <f t="shared" si="32"/>
        <v>0.286000908839204</v>
      </c>
      <c r="Y200" s="4">
        <f t="shared" si="32"/>
        <v>0.279770668846305</v>
      </c>
      <c r="Z200" s="4">
        <f t="shared" si="32"/>
        <v>0.278797126345476</v>
      </c>
      <c r="AA200" s="4">
        <f t="shared" si="32"/>
        <v>0.275776056047391</v>
      </c>
      <c r="AB200" s="4">
        <f t="shared" si="32"/>
        <v>0.27136465165555</v>
      </c>
      <c r="AC200" s="4">
        <f t="shared" si="32"/>
        <v>0.267751575321835</v>
      </c>
      <c r="AD200" s="4">
        <f t="shared" si="32"/>
        <v>0.267154001640985</v>
      </c>
      <c r="AE200" s="4">
        <f t="shared" si="32"/>
        <v>0.264717025400883</v>
      </c>
      <c r="AF200" s="4">
        <f t="shared" si="32"/>
        <v>0.263295733838411</v>
      </c>
      <c r="AG200" s="4">
        <f t="shared" si="32"/>
        <v>0.262229866953317</v>
      </c>
      <c r="AH200" s="4">
        <f t="shared" si="27"/>
        <v>0.258235815763449</v>
      </c>
      <c r="AI200" s="4">
        <f t="shared" si="27"/>
        <v>0.255981997494359</v>
      </c>
      <c r="AJ200" s="4">
        <f t="shared" si="27"/>
        <v>0.254907408174699</v>
      </c>
    </row>
    <row r="201" spans="1:36">
      <c r="A201" t="str">
        <f>"semis_procurement_archetype_"&amp;TEXT(ROUND(Table26916[[#This Row],[2016]],3),"0.0")</f>
        <v>semis_procurement_archetype_0.4</v>
      </c>
      <c r="B201" s="4">
        <f t="shared" si="34"/>
        <v>0.4</v>
      </c>
      <c r="C201" s="4">
        <f t="shared" si="33"/>
        <v>0.4</v>
      </c>
      <c r="D201" s="4">
        <f t="shared" si="33"/>
        <v>0.4</v>
      </c>
      <c r="E201" s="4">
        <f t="shared" si="33"/>
        <v>0.396483321033513</v>
      </c>
      <c r="F201" s="4">
        <f t="shared" si="33"/>
        <v>0.387981544534935</v>
      </c>
      <c r="G201" s="4">
        <f t="shared" si="33"/>
        <v>0.389170113670712</v>
      </c>
      <c r="H201" s="4">
        <f t="shared" si="33"/>
        <v>0.385479832102965</v>
      </c>
      <c r="I201" s="4">
        <f t="shared" si="33"/>
        <v>0.378341237305943</v>
      </c>
      <c r="J201" s="4">
        <f t="shared" si="33"/>
        <v>0.37433113299443</v>
      </c>
      <c r="K201" s="4">
        <f t="shared" si="33"/>
        <v>0.370214676140759</v>
      </c>
      <c r="L201" s="4">
        <f t="shared" si="33"/>
        <v>0.363712250775418</v>
      </c>
      <c r="M201" s="4">
        <f t="shared" si="33"/>
        <v>0.362923058471071</v>
      </c>
      <c r="N201" s="4">
        <f t="shared" si="33"/>
        <v>0.357595120672877</v>
      </c>
      <c r="O201" s="4">
        <f t="shared" si="33"/>
        <v>0.352070492223273</v>
      </c>
      <c r="P201" s="4">
        <f t="shared" si="33"/>
        <v>0.345539237982559</v>
      </c>
      <c r="Q201" s="4">
        <f t="shared" si="33"/>
        <v>0.332788989814974</v>
      </c>
      <c r="R201" s="4">
        <f t="shared" si="33"/>
        <v>0.315588500186827</v>
      </c>
      <c r="S201" s="4">
        <f t="shared" si="32"/>
        <v>0.31010323015569</v>
      </c>
      <c r="T201" s="4">
        <f t="shared" si="32"/>
        <v>0.298179797180094</v>
      </c>
      <c r="U201" s="4">
        <f t="shared" si="32"/>
        <v>0.286163732212331</v>
      </c>
      <c r="V201" s="4">
        <f t="shared" si="32"/>
        <v>0.283847908581227</v>
      </c>
      <c r="W201" s="4">
        <f t="shared" si="32"/>
        <v>0.276860296847709</v>
      </c>
      <c r="X201" s="4">
        <f t="shared" si="32"/>
        <v>0.273314478607699</v>
      </c>
      <c r="Y201" s="4">
        <f t="shared" si="32"/>
        <v>0.269626233028625</v>
      </c>
      <c r="Z201" s="4">
        <f t="shared" si="32"/>
        <v>0.269049904696359</v>
      </c>
      <c r="AA201" s="4">
        <f t="shared" si="32"/>
        <v>0.267261458475398</v>
      </c>
      <c r="AB201" s="4">
        <f t="shared" si="32"/>
        <v>0.264649947078685</v>
      </c>
      <c r="AC201" s="4">
        <f t="shared" si="32"/>
        <v>0.262511038653028</v>
      </c>
      <c r="AD201" s="4">
        <f t="shared" si="32"/>
        <v>0.262157280452849</v>
      </c>
      <c r="AE201" s="4">
        <f t="shared" si="32"/>
        <v>0.260714612617564</v>
      </c>
      <c r="AF201" s="4">
        <f t="shared" si="32"/>
        <v>0.259873220901059</v>
      </c>
      <c r="AG201" s="4">
        <f t="shared" si="32"/>
        <v>0.25924223737052</v>
      </c>
      <c r="AH201" s="4">
        <f t="shared" si="27"/>
        <v>0.256877795284755</v>
      </c>
      <c r="AI201" s="4">
        <f t="shared" si="27"/>
        <v>0.255543555307405</v>
      </c>
      <c r="AJ201" s="4">
        <f t="shared" si="27"/>
        <v>0.254907408174699</v>
      </c>
    </row>
    <row r="202" spans="1:36">
      <c r="A202" t="s">
        <v>209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</row>
  </sheetData>
  <pageMargins left="0.7" right="0.7" top="0.75" bottom="0.75" header="0.3" footer="0.3"/>
  <pageSetup paperSize="9" orientation="portrait"/>
  <headerFooter/>
  <drawing r:id="rId1"/>
  <tableParts count="2">
    <tablePart r:id="rId2"/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>
    <tabColor theme="9"/>
  </sheetPr>
  <dimension ref="A1:AJ201"/>
  <sheetViews>
    <sheetView workbookViewId="0">
      <selection activeCell="AH201" sqref="AH201:AJ201"/>
    </sheetView>
  </sheetViews>
  <sheetFormatPr defaultColWidth="8.83333333333333" defaultRowHeight="13.5"/>
  <cols>
    <col min="1" max="1" width="43.8333333333333" customWidth="1"/>
    <col min="2" max="2" width="16.8333333333333" style="3" customWidth="1"/>
  </cols>
  <sheetData>
    <row r="1" spans="1:36">
      <c r="A1" t="s">
        <v>106</v>
      </c>
      <c r="B1" t="s">
        <v>171</v>
      </c>
      <c r="C1" t="s">
        <v>172</v>
      </c>
      <c r="D1" t="s">
        <v>173</v>
      </c>
      <c r="E1" t="s">
        <v>174</v>
      </c>
      <c r="F1" t="s">
        <v>175</v>
      </c>
      <c r="G1" t="s">
        <v>176</v>
      </c>
      <c r="H1" t="s">
        <v>177</v>
      </c>
      <c r="I1" t="s">
        <v>54</v>
      </c>
      <c r="J1" t="s">
        <v>178</v>
      </c>
      <c r="K1" t="s">
        <v>179</v>
      </c>
      <c r="L1" t="s">
        <v>180</v>
      </c>
      <c r="M1" t="s">
        <v>181</v>
      </c>
      <c r="N1" t="s">
        <v>182</v>
      </c>
      <c r="O1" t="s">
        <v>183</v>
      </c>
      <c r="P1" t="s">
        <v>184</v>
      </c>
      <c r="Q1" t="s">
        <v>185</v>
      </c>
      <c r="R1" t="s">
        <v>186</v>
      </c>
      <c r="S1" t="s">
        <v>187</v>
      </c>
      <c r="T1" t="s">
        <v>188</v>
      </c>
      <c r="U1" t="s">
        <v>189</v>
      </c>
      <c r="V1" t="s">
        <v>190</v>
      </c>
      <c r="W1" t="s">
        <v>191</v>
      </c>
      <c r="X1" t="s">
        <v>192</v>
      </c>
      <c r="Y1" t="s">
        <v>193</v>
      </c>
      <c r="Z1" t="s">
        <v>194</v>
      </c>
      <c r="AA1" t="s">
        <v>195</v>
      </c>
      <c r="AB1" t="s">
        <v>196</v>
      </c>
      <c r="AC1" t="s">
        <v>197</v>
      </c>
      <c r="AD1" t="s">
        <v>198</v>
      </c>
      <c r="AE1" t="s">
        <v>199</v>
      </c>
      <c r="AF1" t="s">
        <v>200</v>
      </c>
      <c r="AG1" t="s">
        <v>201</v>
      </c>
      <c r="AH1" t="s">
        <v>202</v>
      </c>
      <c r="AI1" t="s">
        <v>203</v>
      </c>
      <c r="AJ1" t="s">
        <v>204</v>
      </c>
    </row>
    <row r="2" spans="1:36">
      <c r="A2" t="s">
        <v>214</v>
      </c>
      <c r="B2" s="4">
        <f>'Sectoral Slopes'!C22</f>
        <v>11.5101208019133</v>
      </c>
      <c r="C2" s="4">
        <f>'Sectoral Slopes'!D22</f>
        <v>11.5101208019133</v>
      </c>
      <c r="D2" s="4">
        <f>'Sectoral Slopes'!E22</f>
        <v>11.5101208019133</v>
      </c>
      <c r="E2" s="4">
        <f>'Sectoral Slopes'!F22</f>
        <v>11.2110291879589</v>
      </c>
      <c r="F2" s="4">
        <f>'Sectoral Slopes'!G22</f>
        <v>10.487957767829</v>
      </c>
      <c r="G2" s="4">
        <f>'Sectoral Slopes'!H22</f>
        <v>10.5890449197992</v>
      </c>
      <c r="H2" s="4">
        <f>'Sectoral Slopes'!I22</f>
        <v>10.275188499989</v>
      </c>
      <c r="I2" s="4">
        <f>'Sectoral Slopes'!J22</f>
        <v>9.6680549346126</v>
      </c>
      <c r="J2" s="4">
        <f>'Sectoral Slopes'!K22</f>
        <v>9.32699776616313</v>
      </c>
      <c r="K2" s="4">
        <f>'Sectoral Slopes'!L22</f>
        <v>8.97689537243579</v>
      </c>
      <c r="L2" s="4">
        <f>'Sectoral Slopes'!M22</f>
        <v>8.42386766769748</v>
      </c>
      <c r="M2" s="4">
        <f>'Sectoral Slopes'!N22</f>
        <v>8.35674729581342</v>
      </c>
      <c r="N2" s="4">
        <f>'Sectoral Slopes'!O22</f>
        <v>7.90360911337016</v>
      </c>
      <c r="O2" s="4">
        <f>'Sectoral Slopes'!P22</f>
        <v>7.43374249909099</v>
      </c>
      <c r="P2" s="4">
        <f>'Sectoral Slopes'!Q22</f>
        <v>6.87826291434148</v>
      </c>
      <c r="Q2" s="4">
        <f>'Sectoral Slopes'!R22</f>
        <v>5.98136566339865</v>
      </c>
      <c r="R2" s="4">
        <f>'Sectoral Slopes'!S22</f>
        <v>4.77142279330014</v>
      </c>
      <c r="S2" s="4">
        <f>'Sectoral Slopes'!T22</f>
        <v>4.385569628174</v>
      </c>
      <c r="T2" s="4">
        <f>'Sectoral Slopes'!U22</f>
        <v>3.54683346264576</v>
      </c>
      <c r="U2" s="4">
        <f>'Sectoral Slopes'!V22</f>
        <v>2.70158123734903</v>
      </c>
      <c r="V2" s="4">
        <f>'Sectoral Slopes'!W22</f>
        <v>2.53104951413367</v>
      </c>
      <c r="W2" s="4">
        <f>'Sectoral Slopes'!X22</f>
        <v>2.01649846885032</v>
      </c>
      <c r="X2" s="4">
        <f>'Sectoral Slopes'!Y22</f>
        <v>1.75539287922086</v>
      </c>
      <c r="Y2" s="4">
        <f>'Sectoral Slopes'!Z22</f>
        <v>1.48379928038498</v>
      </c>
      <c r="Z2" s="4">
        <f>'Sectoral Slopes'!AA22</f>
        <v>1.44135983796845</v>
      </c>
      <c r="AA2" s="4">
        <f>'Sectoral Slopes'!AB22</f>
        <v>1.31150316749006</v>
      </c>
      <c r="AB2" s="4">
        <f>'Sectoral Slopes'!AC22</f>
        <v>1.12188484353994</v>
      </c>
      <c r="AC2" s="4">
        <f>'Sectoral Slopes'!AD22</f>
        <v>0.966581584566515</v>
      </c>
      <c r="AD2" s="4">
        <f>'Sectoral Slopes'!AE22</f>
        <v>0.940895678280268</v>
      </c>
      <c r="AE2" s="4">
        <f>'Sectoral Slopes'!AF22</f>
        <v>0.836145510508547</v>
      </c>
      <c r="AF2" s="4">
        <f>'Sectoral Slopes'!AG22</f>
        <v>0.766491748418357</v>
      </c>
      <c r="AG2" s="4">
        <f>'Sectoral Slopes'!AH22</f>
        <v>0.714256415152199</v>
      </c>
      <c r="AH2" s="4">
        <f>'Sectoral Slopes'!AI22</f>
        <v>0.518518468976507</v>
      </c>
      <c r="AI2" s="4">
        <f>'Sectoral Slopes'!AJ22</f>
        <v>0.408064762182774</v>
      </c>
      <c r="AJ2" s="4">
        <f>'Sectoral Slopes'!AK22</f>
        <v>0.355401965334779</v>
      </c>
    </row>
    <row r="4" spans="1:36">
      <c r="A4" t="s">
        <v>215</v>
      </c>
      <c r="B4" t="s">
        <v>171</v>
      </c>
      <c r="C4" t="s">
        <v>172</v>
      </c>
      <c r="D4" t="s">
        <v>173</v>
      </c>
      <c r="E4" t="s">
        <v>174</v>
      </c>
      <c r="F4" t="s">
        <v>175</v>
      </c>
      <c r="G4" t="s">
        <v>176</v>
      </c>
      <c r="H4" t="s">
        <v>177</v>
      </c>
      <c r="I4" t="s">
        <v>54</v>
      </c>
      <c r="J4" t="s">
        <v>178</v>
      </c>
      <c r="K4" t="s">
        <v>179</v>
      </c>
      <c r="L4" t="s">
        <v>180</v>
      </c>
      <c r="M4" t="s">
        <v>181</v>
      </c>
      <c r="N4" t="s">
        <v>182</v>
      </c>
      <c r="O4" t="s">
        <v>183</v>
      </c>
      <c r="P4" t="s">
        <v>184</v>
      </c>
      <c r="Q4" t="s">
        <v>185</v>
      </c>
      <c r="R4" t="s">
        <v>186</v>
      </c>
      <c r="S4" t="s">
        <v>187</v>
      </c>
      <c r="T4" t="s">
        <v>188</v>
      </c>
      <c r="U4" t="s">
        <v>189</v>
      </c>
      <c r="V4" t="s">
        <v>190</v>
      </c>
      <c r="W4" t="s">
        <v>191</v>
      </c>
      <c r="X4" t="s">
        <v>192</v>
      </c>
      <c r="Y4" t="s">
        <v>193</v>
      </c>
      <c r="Z4" t="s">
        <v>194</v>
      </c>
      <c r="AA4" t="s">
        <v>195</v>
      </c>
      <c r="AB4" t="s">
        <v>196</v>
      </c>
      <c r="AC4" t="s">
        <v>197</v>
      </c>
      <c r="AD4" t="s">
        <v>198</v>
      </c>
      <c r="AE4" t="s">
        <v>199</v>
      </c>
      <c r="AF4" t="s">
        <v>200</v>
      </c>
      <c r="AG4" t="s">
        <v>201</v>
      </c>
      <c r="AH4" t="s">
        <v>202</v>
      </c>
      <c r="AI4" t="s">
        <v>203</v>
      </c>
      <c r="AJ4" t="s">
        <v>204</v>
      </c>
    </row>
    <row r="5" spans="1:36">
      <c r="A5" t="str">
        <f>"post-semis_procurement_archetype_"&amp;TEXT(ROUND(Table2691617[[#This Row],[2016]],3),"0.0")</f>
        <v>post-semis_procurement_archetype_20.0</v>
      </c>
      <c r="B5" s="4">
        <v>20</v>
      </c>
      <c r="C5" s="4">
        <f>(($B5-$AJ$2)*((C$2-$AJ$2)/($B$2-$AJ$2)))+$AJ$2</f>
        <v>20</v>
      </c>
      <c r="D5" s="4">
        <f t="shared" ref="D5:AJ12" si="0">(($B5-$AJ$2)*((D$2-$AJ$2)/($B$2-$AJ$2)))+$AJ$2</f>
        <v>20</v>
      </c>
      <c r="E5" s="4">
        <f t="shared" si="0"/>
        <v>19.4732691502356</v>
      </c>
      <c r="F5" s="4">
        <f t="shared" si="0"/>
        <v>18.1998666013316</v>
      </c>
      <c r="G5" s="4">
        <f t="shared" si="0"/>
        <v>18.3778913903037</v>
      </c>
      <c r="H5" s="4">
        <f t="shared" si="0"/>
        <v>17.8251582109113</v>
      </c>
      <c r="I5" s="4">
        <f t="shared" si="0"/>
        <v>16.755934053861</v>
      </c>
      <c r="J5" s="4">
        <f t="shared" si="0"/>
        <v>16.1552975807067</v>
      </c>
      <c r="K5" s="4">
        <f t="shared" si="0"/>
        <v>15.5387315429152</v>
      </c>
      <c r="L5" s="4">
        <f t="shared" si="0"/>
        <v>14.5647933270999</v>
      </c>
      <c r="M5" s="4">
        <f t="shared" si="0"/>
        <v>14.4465875036348</v>
      </c>
      <c r="N5" s="4">
        <f t="shared" si="0"/>
        <v>13.6485649287344</v>
      </c>
      <c r="O5" s="4">
        <f t="shared" si="0"/>
        <v>12.8210818784978</v>
      </c>
      <c r="P5" s="4">
        <f t="shared" si="0"/>
        <v>11.8428256518071</v>
      </c>
      <c r="Q5" s="4">
        <f t="shared" si="0"/>
        <v>10.2632980786521</v>
      </c>
      <c r="R5" s="4">
        <f t="shared" si="0"/>
        <v>8.13246522878662</v>
      </c>
      <c r="S5" s="4">
        <f t="shared" si="0"/>
        <v>7.45293843475841</v>
      </c>
      <c r="T5" s="4">
        <f t="shared" si="0"/>
        <v>5.97583846744156</v>
      </c>
      <c r="U5" s="4">
        <f t="shared" si="0"/>
        <v>4.4872630540111</v>
      </c>
      <c r="V5" s="4">
        <f t="shared" si="0"/>
        <v>4.18693928935114</v>
      </c>
      <c r="W5" s="4">
        <f t="shared" si="0"/>
        <v>3.28076239677348</v>
      </c>
      <c r="X5" s="4">
        <f t="shared" si="0"/>
        <v>2.82092881172112</v>
      </c>
      <c r="Y5" s="4">
        <f t="shared" si="0"/>
        <v>2.34262477232002</v>
      </c>
      <c r="Z5" s="4">
        <f t="shared" si="0"/>
        <v>2.26788458394753</v>
      </c>
      <c r="AA5" s="4">
        <f t="shared" si="0"/>
        <v>2.03919373740617</v>
      </c>
      <c r="AB5" s="4">
        <f t="shared" si="0"/>
        <v>1.70525652136518</v>
      </c>
      <c r="AC5" s="4">
        <f t="shared" si="0"/>
        <v>1.43175163606031</v>
      </c>
      <c r="AD5" s="4">
        <f t="shared" si="0"/>
        <v>1.38651613424786</v>
      </c>
      <c r="AE5" s="4">
        <f t="shared" si="0"/>
        <v>1.20204040069631</v>
      </c>
      <c r="AF5" s="4">
        <f t="shared" si="0"/>
        <v>1.07937301858561</v>
      </c>
      <c r="AG5" s="4">
        <f t="shared" si="0"/>
        <v>0.987381266910476</v>
      </c>
      <c r="AH5" s="4">
        <f t="shared" si="0"/>
        <v>0.642666771719144</v>
      </c>
      <c r="AI5" s="4">
        <f t="shared" si="0"/>
        <v>0.448146523993456</v>
      </c>
      <c r="AJ5" s="4">
        <f t="shared" si="0"/>
        <v>0.355401965334779</v>
      </c>
    </row>
    <row r="6" spans="1:36">
      <c r="A6" t="str">
        <f>"post-semis_procurement_archetype_"&amp;TEXT(ROUND(Table2691617[[#This Row],[2016]],3),"0.0")</f>
        <v>post-semis_procurement_archetype_19.9</v>
      </c>
      <c r="B6" s="4">
        <f>MROUND(B5-0.1,0.1)</f>
        <v>19.9</v>
      </c>
      <c r="C6" s="4">
        <f t="shared" ref="C6:R28" si="1">(($B6-$AJ$2)*((C$2-$AJ$2)/($B$2-$AJ$2)))+$AJ$2</f>
        <v>19.9</v>
      </c>
      <c r="D6" s="4">
        <f t="shared" si="0"/>
        <v>19.9</v>
      </c>
      <c r="E6" s="4">
        <f t="shared" si="0"/>
        <v>19.3759504514709</v>
      </c>
      <c r="F6" s="4">
        <f t="shared" si="0"/>
        <v>18.1090301046799</v>
      </c>
      <c r="G6" s="4">
        <f t="shared" si="0"/>
        <v>18.2861486659519</v>
      </c>
      <c r="H6" s="4">
        <f t="shared" si="0"/>
        <v>17.73622915156</v>
      </c>
      <c r="I6" s="4">
        <f t="shared" si="0"/>
        <v>16.6724478351072</v>
      </c>
      <c r="J6" s="4">
        <f t="shared" si="0"/>
        <v>16.0748688766554</v>
      </c>
      <c r="K6" s="4">
        <f t="shared" si="0"/>
        <v>15.4614414423451</v>
      </c>
      <c r="L6" s="4">
        <f t="shared" si="0"/>
        <v>14.4924610180515</v>
      </c>
      <c r="M6" s="4">
        <f t="shared" si="0"/>
        <v>14.3748569163587</v>
      </c>
      <c r="N6" s="4">
        <f t="shared" si="0"/>
        <v>13.5808966418092</v>
      </c>
      <c r="O6" s="4">
        <f t="shared" si="0"/>
        <v>12.7576258592341</v>
      </c>
      <c r="P6" s="4">
        <f t="shared" si="0"/>
        <v>11.7843494047177</v>
      </c>
      <c r="Q6" s="4">
        <f t="shared" si="0"/>
        <v>10.2128623502353</v>
      </c>
      <c r="R6" s="4">
        <f t="shared" si="0"/>
        <v>8.09287641536459</v>
      </c>
      <c r="S6" s="4">
        <f t="shared" si="0"/>
        <v>7.41680872389897</v>
      </c>
      <c r="T6" s="4">
        <f t="shared" si="0"/>
        <v>5.94722787183564</v>
      </c>
      <c r="U6" s="4">
        <f t="shared" si="0"/>
        <v>4.46622998893445</v>
      </c>
      <c r="V6" s="4">
        <f t="shared" si="0"/>
        <v>4.16743500976621</v>
      </c>
      <c r="W6" s="4">
        <f t="shared" si="0"/>
        <v>3.2658709725444</v>
      </c>
      <c r="X6" s="4">
        <f t="shared" si="0"/>
        <v>2.80837815101513</v>
      </c>
      <c r="Y6" s="4">
        <f t="shared" si="0"/>
        <v>2.33250889820807</v>
      </c>
      <c r="Z6" s="4">
        <f t="shared" si="0"/>
        <v>2.25814917162075</v>
      </c>
      <c r="AA6" s="4">
        <f t="shared" si="0"/>
        <v>2.03062246621447</v>
      </c>
      <c r="AB6" s="4">
        <f t="shared" si="0"/>
        <v>1.69838514352559</v>
      </c>
      <c r="AC6" s="4">
        <f t="shared" si="0"/>
        <v>1.42627252333514</v>
      </c>
      <c r="AD6" s="4">
        <f t="shared" si="0"/>
        <v>1.38126729094197</v>
      </c>
      <c r="AE6" s="4">
        <f t="shared" si="0"/>
        <v>1.19773062335259</v>
      </c>
      <c r="AF6" s="4">
        <f t="shared" si="0"/>
        <v>1.07568767439087</v>
      </c>
      <c r="AG6" s="4">
        <f t="shared" si="0"/>
        <v>0.984164202858259</v>
      </c>
      <c r="AH6" s="4">
        <f t="shared" si="0"/>
        <v>0.64120446230524</v>
      </c>
      <c r="AI6" s="4">
        <f t="shared" si="0"/>
        <v>0.447674411718646</v>
      </c>
      <c r="AJ6" s="4">
        <f t="shared" si="0"/>
        <v>0.355401965334779</v>
      </c>
    </row>
    <row r="7" spans="1:36">
      <c r="A7" t="str">
        <f>"post-semis_procurement_archetype_"&amp;TEXT(ROUND(Table2691617[[#This Row],[2016]],3),"0.0")</f>
        <v>post-semis_procurement_archetype_19.8</v>
      </c>
      <c r="B7" s="4">
        <f t="shared" ref="B7:B70" si="2">MROUND(B6-0.1,0.1)</f>
        <v>19.8</v>
      </c>
      <c r="C7" s="4">
        <f t="shared" si="1"/>
        <v>19.8</v>
      </c>
      <c r="D7" s="4">
        <f t="shared" si="0"/>
        <v>19.8</v>
      </c>
      <c r="E7" s="4">
        <f t="shared" si="0"/>
        <v>19.2786317527062</v>
      </c>
      <c r="F7" s="4">
        <f t="shared" si="0"/>
        <v>18.0181936080283</v>
      </c>
      <c r="G7" s="4">
        <f t="shared" si="0"/>
        <v>18.1944059416</v>
      </c>
      <c r="H7" s="4">
        <f t="shared" si="0"/>
        <v>17.6473000922086</v>
      </c>
      <c r="I7" s="4">
        <f t="shared" si="0"/>
        <v>16.5889616163534</v>
      </c>
      <c r="J7" s="4">
        <f t="shared" si="0"/>
        <v>15.994440172604</v>
      </c>
      <c r="K7" s="4">
        <f t="shared" si="0"/>
        <v>15.384151341775</v>
      </c>
      <c r="L7" s="4">
        <f t="shared" si="0"/>
        <v>14.420128709003</v>
      </c>
      <c r="M7" s="4">
        <f t="shared" si="0"/>
        <v>14.3031263290826</v>
      </c>
      <c r="N7" s="4">
        <f t="shared" si="0"/>
        <v>13.513228354884</v>
      </c>
      <c r="O7" s="4">
        <f t="shared" si="0"/>
        <v>12.6941698399703</v>
      </c>
      <c r="P7" s="4">
        <f t="shared" si="0"/>
        <v>11.7258731576283</v>
      </c>
      <c r="Q7" s="4">
        <f t="shared" si="0"/>
        <v>10.1624266218186</v>
      </c>
      <c r="R7" s="4">
        <f t="shared" si="0"/>
        <v>8.05328760194256</v>
      </c>
      <c r="S7" s="4">
        <f t="shared" si="0"/>
        <v>7.38067901303953</v>
      </c>
      <c r="T7" s="4">
        <f t="shared" si="0"/>
        <v>5.91861727622972</v>
      </c>
      <c r="U7" s="4">
        <f t="shared" si="0"/>
        <v>4.44519692385781</v>
      </c>
      <c r="V7" s="4">
        <f t="shared" si="0"/>
        <v>4.14793073018128</v>
      </c>
      <c r="W7" s="4">
        <f t="shared" si="0"/>
        <v>3.25097954831533</v>
      </c>
      <c r="X7" s="4">
        <f t="shared" si="0"/>
        <v>2.79582749030914</v>
      </c>
      <c r="Y7" s="4">
        <f t="shared" si="0"/>
        <v>2.32239302409612</v>
      </c>
      <c r="Z7" s="4">
        <f t="shared" si="0"/>
        <v>2.24841375929397</v>
      </c>
      <c r="AA7" s="4">
        <f t="shared" si="0"/>
        <v>2.02205119502277</v>
      </c>
      <c r="AB7" s="4">
        <f t="shared" si="0"/>
        <v>1.691513765686</v>
      </c>
      <c r="AC7" s="4">
        <f t="shared" si="0"/>
        <v>1.42079341060998</v>
      </c>
      <c r="AD7" s="4">
        <f t="shared" si="0"/>
        <v>1.37601844763607</v>
      </c>
      <c r="AE7" s="4">
        <f t="shared" si="0"/>
        <v>1.19342084600888</v>
      </c>
      <c r="AF7" s="4">
        <f t="shared" si="0"/>
        <v>1.07200233019612</v>
      </c>
      <c r="AG7" s="4">
        <f t="shared" si="0"/>
        <v>0.980947138806042</v>
      </c>
      <c r="AH7" s="4">
        <f t="shared" si="0"/>
        <v>0.639742152891337</v>
      </c>
      <c r="AI7" s="4">
        <f t="shared" si="0"/>
        <v>0.447202299443837</v>
      </c>
      <c r="AJ7" s="4">
        <f t="shared" si="0"/>
        <v>0.355401965334779</v>
      </c>
    </row>
    <row r="8" spans="1:36">
      <c r="A8" t="str">
        <f>"post-semis_procurement_archetype_"&amp;TEXT(ROUND(Table2691617[[#This Row],[2016]],3),"0.0")</f>
        <v>post-semis_procurement_archetype_19.7</v>
      </c>
      <c r="B8" s="4">
        <f t="shared" si="2"/>
        <v>19.7</v>
      </c>
      <c r="C8" s="4">
        <f t="shared" si="1"/>
        <v>19.7</v>
      </c>
      <c r="D8" s="4">
        <f t="shared" si="0"/>
        <v>19.7</v>
      </c>
      <c r="E8" s="4">
        <f t="shared" si="0"/>
        <v>19.1813130539414</v>
      </c>
      <c r="F8" s="4">
        <f t="shared" si="0"/>
        <v>17.9273571113766</v>
      </c>
      <c r="G8" s="4">
        <f t="shared" si="0"/>
        <v>18.1026632172482</v>
      </c>
      <c r="H8" s="4">
        <f t="shared" si="0"/>
        <v>17.5583710328573</v>
      </c>
      <c r="I8" s="4">
        <f t="shared" si="0"/>
        <v>16.5054753975996</v>
      </c>
      <c r="J8" s="4">
        <f t="shared" si="0"/>
        <v>15.9140114685527</v>
      </c>
      <c r="K8" s="4">
        <f t="shared" si="0"/>
        <v>15.3068612412049</v>
      </c>
      <c r="L8" s="4">
        <f t="shared" si="0"/>
        <v>14.3477963999545</v>
      </c>
      <c r="M8" s="4">
        <f t="shared" si="0"/>
        <v>14.2313957418065</v>
      </c>
      <c r="N8" s="4">
        <f t="shared" si="0"/>
        <v>13.4455600679588</v>
      </c>
      <c r="O8" s="4">
        <f t="shared" si="0"/>
        <v>12.6307138207066</v>
      </c>
      <c r="P8" s="4">
        <f t="shared" si="0"/>
        <v>11.6673969105389</v>
      </c>
      <c r="Q8" s="4">
        <f t="shared" si="0"/>
        <v>10.1119908934019</v>
      </c>
      <c r="R8" s="4">
        <f t="shared" si="0"/>
        <v>8.01369878852053</v>
      </c>
      <c r="S8" s="4">
        <f t="shared" si="0"/>
        <v>7.34454930218009</v>
      </c>
      <c r="T8" s="4">
        <f t="shared" si="0"/>
        <v>5.8900066806238</v>
      </c>
      <c r="U8" s="4">
        <f t="shared" si="0"/>
        <v>4.42416385878116</v>
      </c>
      <c r="V8" s="4">
        <f t="shared" si="0"/>
        <v>4.12842645059636</v>
      </c>
      <c r="W8" s="4">
        <f t="shared" si="0"/>
        <v>3.23608812408625</v>
      </c>
      <c r="X8" s="4">
        <f t="shared" si="0"/>
        <v>2.78327682960315</v>
      </c>
      <c r="Y8" s="4">
        <f t="shared" si="0"/>
        <v>2.31227714998417</v>
      </c>
      <c r="Z8" s="4">
        <f t="shared" si="0"/>
        <v>2.2386783469672</v>
      </c>
      <c r="AA8" s="4">
        <f t="shared" si="0"/>
        <v>2.01347992383106</v>
      </c>
      <c r="AB8" s="4">
        <f t="shared" si="0"/>
        <v>1.68464238784641</v>
      </c>
      <c r="AC8" s="4">
        <f t="shared" si="0"/>
        <v>1.41531429788481</v>
      </c>
      <c r="AD8" s="4">
        <f t="shared" si="0"/>
        <v>1.37076960433017</v>
      </c>
      <c r="AE8" s="4">
        <f t="shared" si="0"/>
        <v>1.18911106866517</v>
      </c>
      <c r="AF8" s="4">
        <f t="shared" si="0"/>
        <v>1.06831698600138</v>
      </c>
      <c r="AG8" s="4">
        <f t="shared" si="0"/>
        <v>0.977730074753825</v>
      </c>
      <c r="AH8" s="4">
        <f t="shared" si="0"/>
        <v>0.638279843477434</v>
      </c>
      <c r="AI8" s="4">
        <f t="shared" si="0"/>
        <v>0.446730187169027</v>
      </c>
      <c r="AJ8" s="4">
        <f t="shared" si="0"/>
        <v>0.355401965334779</v>
      </c>
    </row>
    <row r="9" spans="1:36">
      <c r="A9" t="str">
        <f>"post-semis_procurement_archetype_"&amp;TEXT(ROUND(Table2691617[[#This Row],[2016]],3),"0.0")</f>
        <v>post-semis_procurement_archetype_19.6</v>
      </c>
      <c r="B9" s="4">
        <f t="shared" si="2"/>
        <v>19.6</v>
      </c>
      <c r="C9" s="4">
        <f t="shared" si="1"/>
        <v>19.6</v>
      </c>
      <c r="D9" s="4">
        <f t="shared" si="0"/>
        <v>19.6</v>
      </c>
      <c r="E9" s="4">
        <f t="shared" si="0"/>
        <v>19.0839943551767</v>
      </c>
      <c r="F9" s="4">
        <f t="shared" si="0"/>
        <v>17.8365206147249</v>
      </c>
      <c r="G9" s="4">
        <f t="shared" si="0"/>
        <v>18.0109204928964</v>
      </c>
      <c r="H9" s="4">
        <f t="shared" si="0"/>
        <v>17.469441973506</v>
      </c>
      <c r="I9" s="4">
        <f t="shared" si="0"/>
        <v>16.4219891788458</v>
      </c>
      <c r="J9" s="4">
        <f t="shared" si="0"/>
        <v>15.8335827645014</v>
      </c>
      <c r="K9" s="4">
        <f t="shared" si="0"/>
        <v>15.2295711406349</v>
      </c>
      <c r="L9" s="4">
        <f t="shared" si="0"/>
        <v>14.275464090906</v>
      </c>
      <c r="M9" s="4">
        <f t="shared" si="0"/>
        <v>14.1596651545303</v>
      </c>
      <c r="N9" s="4">
        <f t="shared" si="0"/>
        <v>13.3778917810336</v>
      </c>
      <c r="O9" s="4">
        <f t="shared" si="0"/>
        <v>12.5672578014429</v>
      </c>
      <c r="P9" s="4">
        <f t="shared" si="0"/>
        <v>11.6089206634495</v>
      </c>
      <c r="Q9" s="4">
        <f t="shared" si="0"/>
        <v>10.0615551649852</v>
      </c>
      <c r="R9" s="4">
        <f t="shared" si="0"/>
        <v>7.97410997509849</v>
      </c>
      <c r="S9" s="4">
        <f t="shared" si="0"/>
        <v>7.30841959132065</v>
      </c>
      <c r="T9" s="4">
        <f t="shared" si="0"/>
        <v>5.86139608501787</v>
      </c>
      <c r="U9" s="4">
        <f t="shared" si="0"/>
        <v>4.40313079370452</v>
      </c>
      <c r="V9" s="4">
        <f t="shared" si="0"/>
        <v>4.10892217101143</v>
      </c>
      <c r="W9" s="4">
        <f t="shared" si="0"/>
        <v>3.22119669985717</v>
      </c>
      <c r="X9" s="4">
        <f t="shared" si="0"/>
        <v>2.77072616889716</v>
      </c>
      <c r="Y9" s="4">
        <f t="shared" si="0"/>
        <v>2.30216127587222</v>
      </c>
      <c r="Z9" s="4">
        <f t="shared" si="0"/>
        <v>2.22894293464042</v>
      </c>
      <c r="AA9" s="4">
        <f t="shared" si="0"/>
        <v>2.00490865263936</v>
      </c>
      <c r="AB9" s="4">
        <f t="shared" si="0"/>
        <v>1.67777101000682</v>
      </c>
      <c r="AC9" s="4">
        <f t="shared" si="0"/>
        <v>1.40983518515964</v>
      </c>
      <c r="AD9" s="4">
        <f t="shared" si="0"/>
        <v>1.36552076102427</v>
      </c>
      <c r="AE9" s="4">
        <f t="shared" si="0"/>
        <v>1.18480129132145</v>
      </c>
      <c r="AF9" s="4">
        <f t="shared" si="0"/>
        <v>1.06463164180664</v>
      </c>
      <c r="AG9" s="4">
        <f t="shared" si="0"/>
        <v>0.974513010701609</v>
      </c>
      <c r="AH9" s="4">
        <f t="shared" si="0"/>
        <v>0.636817534063531</v>
      </c>
      <c r="AI9" s="4">
        <f t="shared" si="0"/>
        <v>0.446258074894217</v>
      </c>
      <c r="AJ9" s="4">
        <f t="shared" si="0"/>
        <v>0.355401965334779</v>
      </c>
    </row>
    <row r="10" spans="1:36">
      <c r="A10" t="str">
        <f>"post-semis_procurement_archetype_"&amp;TEXT(ROUND(Table2691617[[#This Row],[2016]],3),"0.0")</f>
        <v>post-semis_procurement_archetype_19.5</v>
      </c>
      <c r="B10" s="4">
        <f t="shared" si="2"/>
        <v>19.5</v>
      </c>
      <c r="C10" s="4">
        <f t="shared" si="1"/>
        <v>19.5</v>
      </c>
      <c r="D10" s="4">
        <f t="shared" si="0"/>
        <v>19.5</v>
      </c>
      <c r="E10" s="4">
        <f t="shared" si="0"/>
        <v>18.9866756564119</v>
      </c>
      <c r="F10" s="4">
        <f t="shared" si="0"/>
        <v>17.7456841180732</v>
      </c>
      <c r="G10" s="4">
        <f t="shared" si="0"/>
        <v>17.9191777685445</v>
      </c>
      <c r="H10" s="4">
        <f t="shared" si="0"/>
        <v>17.3805129141547</v>
      </c>
      <c r="I10" s="4">
        <f t="shared" si="0"/>
        <v>16.338502960092</v>
      </c>
      <c r="J10" s="4">
        <f t="shared" si="0"/>
        <v>15.7531540604501</v>
      </c>
      <c r="K10" s="4">
        <f t="shared" si="0"/>
        <v>15.1522810400648</v>
      </c>
      <c r="L10" s="4">
        <f t="shared" si="0"/>
        <v>14.2031317818576</v>
      </c>
      <c r="M10" s="4">
        <f t="shared" si="0"/>
        <v>14.0879345672542</v>
      </c>
      <c r="N10" s="4">
        <f t="shared" si="0"/>
        <v>13.3102234941084</v>
      </c>
      <c r="O10" s="4">
        <f t="shared" si="0"/>
        <v>12.5038017821791</v>
      </c>
      <c r="P10" s="4">
        <f t="shared" si="0"/>
        <v>11.5504444163601</v>
      </c>
      <c r="Q10" s="4">
        <f t="shared" si="0"/>
        <v>10.0111194365685</v>
      </c>
      <c r="R10" s="4">
        <f t="shared" si="0"/>
        <v>7.93452116167646</v>
      </c>
      <c r="S10" s="4">
        <f t="shared" si="0"/>
        <v>7.27228988046121</v>
      </c>
      <c r="T10" s="4">
        <f t="shared" si="0"/>
        <v>5.83278548941195</v>
      </c>
      <c r="U10" s="4">
        <f t="shared" si="0"/>
        <v>4.38209772862787</v>
      </c>
      <c r="V10" s="4">
        <f t="shared" si="0"/>
        <v>4.0894178914265</v>
      </c>
      <c r="W10" s="4">
        <f t="shared" si="0"/>
        <v>3.2063052756281</v>
      </c>
      <c r="X10" s="4">
        <f t="shared" si="0"/>
        <v>2.75817550819117</v>
      </c>
      <c r="Y10" s="4">
        <f t="shared" si="0"/>
        <v>2.29204540176027</v>
      </c>
      <c r="Z10" s="4">
        <f t="shared" si="0"/>
        <v>2.21920752231364</v>
      </c>
      <c r="AA10" s="4">
        <f t="shared" si="0"/>
        <v>1.99633738144765</v>
      </c>
      <c r="AB10" s="4">
        <f t="shared" si="0"/>
        <v>1.67089963216723</v>
      </c>
      <c r="AC10" s="4">
        <f t="shared" si="0"/>
        <v>1.40435607243447</v>
      </c>
      <c r="AD10" s="4">
        <f t="shared" si="0"/>
        <v>1.36027191771837</v>
      </c>
      <c r="AE10" s="4">
        <f t="shared" si="0"/>
        <v>1.18049151397774</v>
      </c>
      <c r="AF10" s="4">
        <f t="shared" si="0"/>
        <v>1.0609462976119</v>
      </c>
      <c r="AG10" s="4">
        <f t="shared" si="0"/>
        <v>0.971295946649392</v>
      </c>
      <c r="AH10" s="4">
        <f t="shared" si="0"/>
        <v>0.635355224649627</v>
      </c>
      <c r="AI10" s="4">
        <f t="shared" si="0"/>
        <v>0.445785962619408</v>
      </c>
      <c r="AJ10" s="4">
        <f t="shared" si="0"/>
        <v>0.355401965334779</v>
      </c>
    </row>
    <row r="11" spans="1:36">
      <c r="A11" t="str">
        <f>"post-semis_procurement_archetype_"&amp;TEXT(ROUND(Table2691617[[#This Row],[2016]],3),"0.0")</f>
        <v>post-semis_procurement_archetype_19.4</v>
      </c>
      <c r="B11" s="4">
        <f t="shared" si="2"/>
        <v>19.4</v>
      </c>
      <c r="C11" s="4">
        <f t="shared" si="1"/>
        <v>19.4</v>
      </c>
      <c r="D11" s="4">
        <f t="shared" si="0"/>
        <v>19.4</v>
      </c>
      <c r="E11" s="4">
        <f t="shared" si="0"/>
        <v>18.8893569576472</v>
      </c>
      <c r="F11" s="4">
        <f t="shared" si="0"/>
        <v>17.6548476214215</v>
      </c>
      <c r="G11" s="4">
        <f t="shared" si="0"/>
        <v>17.8274350441927</v>
      </c>
      <c r="H11" s="4">
        <f t="shared" si="0"/>
        <v>17.2915838548033</v>
      </c>
      <c r="I11" s="4">
        <f t="shared" si="0"/>
        <v>16.2550167413382</v>
      </c>
      <c r="J11" s="4">
        <f t="shared" si="0"/>
        <v>15.6727253563988</v>
      </c>
      <c r="K11" s="4">
        <f t="shared" si="0"/>
        <v>15.0749909394947</v>
      </c>
      <c r="L11" s="4">
        <f t="shared" si="0"/>
        <v>14.1307994728091</v>
      </c>
      <c r="M11" s="4">
        <f t="shared" si="0"/>
        <v>14.0162039799781</v>
      </c>
      <c r="N11" s="4">
        <f t="shared" si="0"/>
        <v>13.2425552071832</v>
      </c>
      <c r="O11" s="4">
        <f t="shared" si="0"/>
        <v>12.4403457629154</v>
      </c>
      <c r="P11" s="4">
        <f t="shared" si="0"/>
        <v>11.4919681692707</v>
      </c>
      <c r="Q11" s="4">
        <f t="shared" si="0"/>
        <v>9.96068370815182</v>
      </c>
      <c r="R11" s="4">
        <f t="shared" si="0"/>
        <v>7.89493234825443</v>
      </c>
      <c r="S11" s="4">
        <f t="shared" si="0"/>
        <v>7.23616016960177</v>
      </c>
      <c r="T11" s="4">
        <f t="shared" si="0"/>
        <v>5.80417489380603</v>
      </c>
      <c r="U11" s="4">
        <f t="shared" si="0"/>
        <v>4.36106466355123</v>
      </c>
      <c r="V11" s="4">
        <f t="shared" si="0"/>
        <v>4.06991361184157</v>
      </c>
      <c r="W11" s="4">
        <f t="shared" si="0"/>
        <v>3.19141385139902</v>
      </c>
      <c r="X11" s="4">
        <f t="shared" si="0"/>
        <v>2.74562484748518</v>
      </c>
      <c r="Y11" s="4">
        <f t="shared" si="0"/>
        <v>2.28192952764833</v>
      </c>
      <c r="Z11" s="4">
        <f t="shared" si="0"/>
        <v>2.20947210998686</v>
      </c>
      <c r="AA11" s="4">
        <f t="shared" si="0"/>
        <v>1.98776611025595</v>
      </c>
      <c r="AB11" s="4">
        <f t="shared" si="0"/>
        <v>1.66402825432765</v>
      </c>
      <c r="AC11" s="4">
        <f t="shared" si="0"/>
        <v>1.3988769597093</v>
      </c>
      <c r="AD11" s="4">
        <f t="shared" si="0"/>
        <v>1.35502307441248</v>
      </c>
      <c r="AE11" s="4">
        <f t="shared" si="0"/>
        <v>1.17618173663403</v>
      </c>
      <c r="AF11" s="4">
        <f t="shared" si="0"/>
        <v>1.05726095341716</v>
      </c>
      <c r="AG11" s="4">
        <f t="shared" si="0"/>
        <v>0.968078882597175</v>
      </c>
      <c r="AH11" s="4">
        <f t="shared" si="0"/>
        <v>0.633892915235724</v>
      </c>
      <c r="AI11" s="4">
        <f t="shared" si="0"/>
        <v>0.445313850344598</v>
      </c>
      <c r="AJ11" s="4">
        <f t="shared" si="0"/>
        <v>0.355401965334779</v>
      </c>
    </row>
    <row r="12" spans="1:36">
      <c r="A12" t="str">
        <f>"post-semis_procurement_archetype_"&amp;TEXT(ROUND(Table2691617[[#This Row],[2016]],3),"0.0")</f>
        <v>post-semis_procurement_archetype_19.3</v>
      </c>
      <c r="B12" s="4">
        <f t="shared" si="2"/>
        <v>19.3</v>
      </c>
      <c r="C12" s="4">
        <f t="shared" si="1"/>
        <v>19.3</v>
      </c>
      <c r="D12" s="4">
        <f t="shared" si="0"/>
        <v>19.3</v>
      </c>
      <c r="E12" s="4">
        <f t="shared" si="0"/>
        <v>18.7920382588824</v>
      </c>
      <c r="F12" s="4">
        <f t="shared" si="0"/>
        <v>17.5640111247698</v>
      </c>
      <c r="G12" s="4">
        <f t="shared" si="0"/>
        <v>17.7356923198408</v>
      </c>
      <c r="H12" s="4">
        <f t="shared" si="0"/>
        <v>17.202654795452</v>
      </c>
      <c r="I12" s="4">
        <f t="shared" si="0"/>
        <v>16.1715305225844</v>
      </c>
      <c r="J12" s="4">
        <f t="shared" si="0"/>
        <v>15.5922966523475</v>
      </c>
      <c r="K12" s="4">
        <f t="shared" si="0"/>
        <v>14.9977008389246</v>
      </c>
      <c r="L12" s="4">
        <f t="shared" si="0"/>
        <v>14.0584671637606</v>
      </c>
      <c r="M12" s="4">
        <f t="shared" si="0"/>
        <v>13.9444733927019</v>
      </c>
      <c r="N12" s="4">
        <f t="shared" si="0"/>
        <v>13.174886920258</v>
      </c>
      <c r="O12" s="4">
        <f t="shared" si="0"/>
        <v>12.3768897436516</v>
      </c>
      <c r="P12" s="4">
        <f t="shared" si="0"/>
        <v>11.4334919221813</v>
      </c>
      <c r="Q12" s="4">
        <f t="shared" si="0"/>
        <v>9.91024797973511</v>
      </c>
      <c r="R12" s="4">
        <f t="shared" si="0"/>
        <v>7.8553435348324</v>
      </c>
      <c r="S12" s="4">
        <f t="shared" si="0"/>
        <v>7.20003045874233</v>
      </c>
      <c r="T12" s="4">
        <f t="shared" si="0"/>
        <v>5.77556429820011</v>
      </c>
      <c r="U12" s="4">
        <f t="shared" si="0"/>
        <v>4.34003159847459</v>
      </c>
      <c r="V12" s="4">
        <f t="shared" si="0"/>
        <v>4.05040933225665</v>
      </c>
      <c r="W12" s="4">
        <f t="shared" si="0"/>
        <v>3.17652242716995</v>
      </c>
      <c r="X12" s="4">
        <f t="shared" si="0"/>
        <v>2.73307418677919</v>
      </c>
      <c r="Y12" s="4">
        <f t="shared" si="0"/>
        <v>2.27181365353638</v>
      </c>
      <c r="Z12" s="4">
        <f t="shared" si="0"/>
        <v>2.19973669766008</v>
      </c>
      <c r="AA12" s="4">
        <f t="shared" si="0"/>
        <v>1.97919483906424</v>
      </c>
      <c r="AB12" s="4">
        <f t="shared" ref="AB12:AJ28" si="3">(($B12-$AJ$2)*((AB$2-$AJ$2)/($B$2-$AJ$2)))+$AJ$2</f>
        <v>1.65715687648806</v>
      </c>
      <c r="AC12" s="4">
        <f t="shared" si="3"/>
        <v>1.39339784698413</v>
      </c>
      <c r="AD12" s="4">
        <f t="shared" si="3"/>
        <v>1.34977423110658</v>
      </c>
      <c r="AE12" s="4">
        <f t="shared" si="3"/>
        <v>1.17187195929032</v>
      </c>
      <c r="AF12" s="4">
        <f t="shared" si="3"/>
        <v>1.05357560922242</v>
      </c>
      <c r="AG12" s="4">
        <f t="shared" si="3"/>
        <v>0.964861818544958</v>
      </c>
      <c r="AH12" s="4">
        <f t="shared" si="3"/>
        <v>0.632430605821821</v>
      </c>
      <c r="AI12" s="4">
        <f t="shared" si="3"/>
        <v>0.444841738069788</v>
      </c>
      <c r="AJ12" s="4">
        <f t="shared" si="3"/>
        <v>0.355401965334779</v>
      </c>
    </row>
    <row r="13" spans="1:36">
      <c r="A13" t="str">
        <f>"post-semis_procurement_archetype_"&amp;TEXT(ROUND(Table2691617[[#This Row],[2016]],3),"0.0")</f>
        <v>post-semis_procurement_archetype_19.2</v>
      </c>
      <c r="B13" s="4">
        <f t="shared" si="2"/>
        <v>19.2</v>
      </c>
      <c r="C13" s="4">
        <f t="shared" si="1"/>
        <v>19.2</v>
      </c>
      <c r="D13" s="4">
        <f t="shared" si="1"/>
        <v>19.2</v>
      </c>
      <c r="E13" s="4">
        <f t="shared" si="1"/>
        <v>18.6947195601177</v>
      </c>
      <c r="F13" s="4">
        <f t="shared" si="1"/>
        <v>17.4731746281181</v>
      </c>
      <c r="G13" s="4">
        <f t="shared" si="1"/>
        <v>17.643949595489</v>
      </c>
      <c r="H13" s="4">
        <f t="shared" si="1"/>
        <v>17.1137257361007</v>
      </c>
      <c r="I13" s="4">
        <f t="shared" si="1"/>
        <v>16.0880443038306</v>
      </c>
      <c r="J13" s="4">
        <f t="shared" si="1"/>
        <v>15.5118679482961</v>
      </c>
      <c r="K13" s="4">
        <f t="shared" si="1"/>
        <v>14.9204107383545</v>
      </c>
      <c r="L13" s="4">
        <f t="shared" si="1"/>
        <v>13.9861348547121</v>
      </c>
      <c r="M13" s="4">
        <f t="shared" si="1"/>
        <v>13.8727428054258</v>
      </c>
      <c r="N13" s="4">
        <f t="shared" si="1"/>
        <v>13.1072186333328</v>
      </c>
      <c r="O13" s="4">
        <f t="shared" si="1"/>
        <v>12.3134337243879</v>
      </c>
      <c r="P13" s="4">
        <f t="shared" si="1"/>
        <v>11.3750156750919</v>
      </c>
      <c r="Q13" s="4">
        <f t="shared" si="1"/>
        <v>9.85981225131841</v>
      </c>
      <c r="R13" s="4">
        <f t="shared" si="1"/>
        <v>7.81575472141036</v>
      </c>
      <c r="S13" s="4">
        <f t="shared" ref="S13:AH29" si="4">(($B13-$AJ$2)*((S$2-$AJ$2)/($B$2-$AJ$2)))+$AJ$2</f>
        <v>7.16390074788289</v>
      </c>
      <c r="T13" s="4">
        <f t="shared" si="4"/>
        <v>5.74695370259419</v>
      </c>
      <c r="U13" s="4">
        <f t="shared" si="4"/>
        <v>4.31899853339794</v>
      </c>
      <c r="V13" s="4">
        <f t="shared" si="4"/>
        <v>4.03090505267172</v>
      </c>
      <c r="W13" s="4">
        <f t="shared" si="4"/>
        <v>3.16163100294087</v>
      </c>
      <c r="X13" s="4">
        <f t="shared" si="4"/>
        <v>2.7205235260732</v>
      </c>
      <c r="Y13" s="4">
        <f t="shared" si="4"/>
        <v>2.26169777942443</v>
      </c>
      <c r="Z13" s="4">
        <f t="shared" si="4"/>
        <v>2.19000128533331</v>
      </c>
      <c r="AA13" s="4">
        <f t="shared" si="4"/>
        <v>1.97062356787254</v>
      </c>
      <c r="AB13" s="4">
        <f t="shared" si="4"/>
        <v>1.65028549864847</v>
      </c>
      <c r="AC13" s="4">
        <f t="shared" si="4"/>
        <v>1.38791873425896</v>
      </c>
      <c r="AD13" s="4">
        <f t="shared" si="4"/>
        <v>1.34452538780068</v>
      </c>
      <c r="AE13" s="4">
        <f t="shared" si="4"/>
        <v>1.1675621819466</v>
      </c>
      <c r="AF13" s="4">
        <f t="shared" si="4"/>
        <v>1.04989026502768</v>
      </c>
      <c r="AG13" s="4">
        <f t="shared" si="4"/>
        <v>0.961644754492742</v>
      </c>
      <c r="AH13" s="4">
        <f t="shared" si="4"/>
        <v>0.630968296407918</v>
      </c>
      <c r="AI13" s="4">
        <f t="shared" si="3"/>
        <v>0.444369625794979</v>
      </c>
      <c r="AJ13" s="4">
        <f t="shared" si="3"/>
        <v>0.355401965334779</v>
      </c>
    </row>
    <row r="14" spans="1:36">
      <c r="A14" t="str">
        <f>"post-semis_procurement_archetype_"&amp;TEXT(ROUND(Table2691617[[#This Row],[2016]],3),"0.0")</f>
        <v>post-semis_procurement_archetype_19.1</v>
      </c>
      <c r="B14" s="4">
        <f t="shared" si="2"/>
        <v>19.1</v>
      </c>
      <c r="C14" s="4">
        <f t="shared" si="1"/>
        <v>19.1</v>
      </c>
      <c r="D14" s="4">
        <f t="shared" si="1"/>
        <v>19.1</v>
      </c>
      <c r="E14" s="4">
        <f t="shared" si="1"/>
        <v>18.5974008613529</v>
      </c>
      <c r="F14" s="4">
        <f t="shared" si="1"/>
        <v>17.3823381314664</v>
      </c>
      <c r="G14" s="4">
        <f t="shared" si="1"/>
        <v>17.5522068711372</v>
      </c>
      <c r="H14" s="4">
        <f t="shared" si="1"/>
        <v>17.0247966767494</v>
      </c>
      <c r="I14" s="4">
        <f t="shared" si="1"/>
        <v>16.0045580850768</v>
      </c>
      <c r="J14" s="4">
        <f t="shared" si="1"/>
        <v>15.4314392442448</v>
      </c>
      <c r="K14" s="4">
        <f t="shared" si="1"/>
        <v>14.8431206377845</v>
      </c>
      <c r="L14" s="4">
        <f t="shared" si="1"/>
        <v>13.9138025456636</v>
      </c>
      <c r="M14" s="4">
        <f t="shared" si="1"/>
        <v>13.8010122181497</v>
      </c>
      <c r="N14" s="4">
        <f t="shared" si="1"/>
        <v>13.0395503464076</v>
      </c>
      <c r="O14" s="4">
        <f t="shared" si="1"/>
        <v>12.2499777051241</v>
      </c>
      <c r="P14" s="4">
        <f t="shared" si="1"/>
        <v>11.3165394280024</v>
      </c>
      <c r="Q14" s="4">
        <f t="shared" si="1"/>
        <v>9.8093765229017</v>
      </c>
      <c r="R14" s="4">
        <f t="shared" si="1"/>
        <v>7.77616590798833</v>
      </c>
      <c r="S14" s="4">
        <f t="shared" si="4"/>
        <v>7.12777103702345</v>
      </c>
      <c r="T14" s="4">
        <f t="shared" si="4"/>
        <v>5.71834310698827</v>
      </c>
      <c r="U14" s="4">
        <f t="shared" si="4"/>
        <v>4.2979654683213</v>
      </c>
      <c r="V14" s="4">
        <f t="shared" si="4"/>
        <v>4.01140077308679</v>
      </c>
      <c r="W14" s="4">
        <f t="shared" si="4"/>
        <v>3.14673957871179</v>
      </c>
      <c r="X14" s="4">
        <f t="shared" si="4"/>
        <v>2.70797286536721</v>
      </c>
      <c r="Y14" s="4">
        <f t="shared" si="4"/>
        <v>2.25158190531248</v>
      </c>
      <c r="Z14" s="4">
        <f t="shared" si="4"/>
        <v>2.18026587300653</v>
      </c>
      <c r="AA14" s="4">
        <f t="shared" si="4"/>
        <v>1.96205229668083</v>
      </c>
      <c r="AB14" s="4">
        <f t="shared" si="4"/>
        <v>1.64341412080888</v>
      </c>
      <c r="AC14" s="4">
        <f t="shared" si="4"/>
        <v>1.3824396215338</v>
      </c>
      <c r="AD14" s="4">
        <f t="shared" si="4"/>
        <v>1.33927654449478</v>
      </c>
      <c r="AE14" s="4">
        <f t="shared" si="4"/>
        <v>1.16325240460289</v>
      </c>
      <c r="AF14" s="4">
        <f t="shared" si="4"/>
        <v>1.04620492083293</v>
      </c>
      <c r="AG14" s="4">
        <f t="shared" si="4"/>
        <v>0.958427690440525</v>
      </c>
      <c r="AH14" s="4">
        <f t="shared" si="4"/>
        <v>0.629505986994014</v>
      </c>
      <c r="AI14" s="4">
        <f t="shared" si="3"/>
        <v>0.443897513520169</v>
      </c>
      <c r="AJ14" s="4">
        <f t="shared" si="3"/>
        <v>0.355401965334779</v>
      </c>
    </row>
    <row r="15" spans="1:36">
      <c r="A15" t="str">
        <f>"post-semis_procurement_archetype_"&amp;TEXT(ROUND(Table2691617[[#This Row],[2016]],3),"0.0")</f>
        <v>post-semis_procurement_archetype_19.0</v>
      </c>
      <c r="B15" s="4">
        <f t="shared" si="2"/>
        <v>19</v>
      </c>
      <c r="C15" s="4">
        <f t="shared" si="1"/>
        <v>19</v>
      </c>
      <c r="D15" s="4">
        <f t="shared" si="1"/>
        <v>19</v>
      </c>
      <c r="E15" s="4">
        <f t="shared" si="1"/>
        <v>18.5000821625882</v>
      </c>
      <c r="F15" s="4">
        <f t="shared" si="1"/>
        <v>17.2915016348147</v>
      </c>
      <c r="G15" s="4">
        <f t="shared" si="1"/>
        <v>17.4604641467853</v>
      </c>
      <c r="H15" s="4">
        <f t="shared" si="1"/>
        <v>16.935867617398</v>
      </c>
      <c r="I15" s="4">
        <f t="shared" si="1"/>
        <v>15.921071866323</v>
      </c>
      <c r="J15" s="4">
        <f t="shared" si="1"/>
        <v>15.3510105401935</v>
      </c>
      <c r="K15" s="4">
        <f t="shared" si="1"/>
        <v>14.7658305372144</v>
      </c>
      <c r="L15" s="4">
        <f t="shared" si="1"/>
        <v>13.8414702366152</v>
      </c>
      <c r="M15" s="4">
        <f t="shared" si="1"/>
        <v>13.7292816308736</v>
      </c>
      <c r="N15" s="4">
        <f t="shared" si="1"/>
        <v>12.9718820594824</v>
      </c>
      <c r="O15" s="4">
        <f t="shared" si="1"/>
        <v>12.1865216858604</v>
      </c>
      <c r="P15" s="4">
        <f t="shared" si="1"/>
        <v>11.258063180913</v>
      </c>
      <c r="Q15" s="4">
        <f t="shared" si="1"/>
        <v>9.758940794485</v>
      </c>
      <c r="R15" s="4">
        <f t="shared" si="1"/>
        <v>7.7365770945663</v>
      </c>
      <c r="S15" s="4">
        <f t="shared" si="4"/>
        <v>7.09164132616401</v>
      </c>
      <c r="T15" s="4">
        <f t="shared" si="4"/>
        <v>5.68973251138235</v>
      </c>
      <c r="U15" s="4">
        <f t="shared" si="4"/>
        <v>4.27693240324465</v>
      </c>
      <c r="V15" s="4">
        <f t="shared" si="4"/>
        <v>3.99189649350186</v>
      </c>
      <c r="W15" s="4">
        <f t="shared" si="4"/>
        <v>3.13184815448272</v>
      </c>
      <c r="X15" s="4">
        <f t="shared" si="4"/>
        <v>2.69542220466122</v>
      </c>
      <c r="Y15" s="4">
        <f t="shared" si="4"/>
        <v>2.24146603120053</v>
      </c>
      <c r="Z15" s="4">
        <f t="shared" si="4"/>
        <v>2.17053046067975</v>
      </c>
      <c r="AA15" s="4">
        <f t="shared" si="4"/>
        <v>1.95348102548913</v>
      </c>
      <c r="AB15" s="4">
        <f t="shared" si="4"/>
        <v>1.63654274296929</v>
      </c>
      <c r="AC15" s="4">
        <f t="shared" si="4"/>
        <v>1.37696050880863</v>
      </c>
      <c r="AD15" s="4">
        <f t="shared" si="4"/>
        <v>1.33402770118888</v>
      </c>
      <c r="AE15" s="4">
        <f t="shared" si="4"/>
        <v>1.15894262725918</v>
      </c>
      <c r="AF15" s="4">
        <f t="shared" si="4"/>
        <v>1.04251957663819</v>
      </c>
      <c r="AG15" s="4">
        <f t="shared" si="4"/>
        <v>0.955210626388308</v>
      </c>
      <c r="AH15" s="4">
        <f t="shared" si="4"/>
        <v>0.628043677580111</v>
      </c>
      <c r="AI15" s="4">
        <f t="shared" si="3"/>
        <v>0.443425401245359</v>
      </c>
      <c r="AJ15" s="4">
        <f t="shared" si="3"/>
        <v>0.355401965334779</v>
      </c>
    </row>
    <row r="16" spans="1:36">
      <c r="A16" t="str">
        <f>"post-semis_procurement_archetype_"&amp;TEXT(ROUND(Table2691617[[#This Row],[2016]],3),"0.0")</f>
        <v>post-semis_procurement_archetype_18.9</v>
      </c>
      <c r="B16" s="4">
        <f t="shared" si="2"/>
        <v>18.9</v>
      </c>
      <c r="C16" s="4">
        <f t="shared" si="1"/>
        <v>18.9</v>
      </c>
      <c r="D16" s="4">
        <f t="shared" si="1"/>
        <v>18.9</v>
      </c>
      <c r="E16" s="4">
        <f t="shared" si="1"/>
        <v>18.4027634638234</v>
      </c>
      <c r="F16" s="4">
        <f t="shared" si="1"/>
        <v>17.200665138163</v>
      </c>
      <c r="G16" s="4">
        <f t="shared" si="1"/>
        <v>17.3687214224335</v>
      </c>
      <c r="H16" s="4">
        <f t="shared" si="1"/>
        <v>16.8469385580467</v>
      </c>
      <c r="I16" s="4">
        <f t="shared" si="1"/>
        <v>15.8375856475692</v>
      </c>
      <c r="J16" s="4">
        <f t="shared" si="1"/>
        <v>15.2705818361422</v>
      </c>
      <c r="K16" s="4">
        <f t="shared" si="1"/>
        <v>14.6885404366443</v>
      </c>
      <c r="L16" s="4">
        <f t="shared" si="1"/>
        <v>13.7691379275667</v>
      </c>
      <c r="M16" s="4">
        <f t="shared" si="1"/>
        <v>13.6575510435974</v>
      </c>
      <c r="N16" s="4">
        <f t="shared" si="1"/>
        <v>12.9042137725572</v>
      </c>
      <c r="O16" s="4">
        <f t="shared" si="1"/>
        <v>12.1230656665966</v>
      </c>
      <c r="P16" s="4">
        <f t="shared" si="1"/>
        <v>11.1995869338236</v>
      </c>
      <c r="Q16" s="4">
        <f t="shared" si="1"/>
        <v>9.70850506606829</v>
      </c>
      <c r="R16" s="4">
        <f t="shared" si="1"/>
        <v>7.69698828114427</v>
      </c>
      <c r="S16" s="4">
        <f t="shared" si="4"/>
        <v>7.05551161530458</v>
      </c>
      <c r="T16" s="4">
        <f t="shared" si="4"/>
        <v>5.66112191577643</v>
      </c>
      <c r="U16" s="4">
        <f t="shared" si="4"/>
        <v>4.25589933816801</v>
      </c>
      <c r="V16" s="4">
        <f t="shared" si="4"/>
        <v>3.97239221391693</v>
      </c>
      <c r="W16" s="4">
        <f t="shared" si="4"/>
        <v>3.11695673025364</v>
      </c>
      <c r="X16" s="4">
        <f t="shared" si="4"/>
        <v>2.68287154395523</v>
      </c>
      <c r="Y16" s="4">
        <f t="shared" si="4"/>
        <v>2.23135015708858</v>
      </c>
      <c r="Z16" s="4">
        <f t="shared" si="4"/>
        <v>2.16079504835297</v>
      </c>
      <c r="AA16" s="4">
        <f t="shared" si="4"/>
        <v>1.94490975429743</v>
      </c>
      <c r="AB16" s="4">
        <f t="shared" si="4"/>
        <v>1.6296713651297</v>
      </c>
      <c r="AC16" s="4">
        <f t="shared" si="4"/>
        <v>1.37148139608346</v>
      </c>
      <c r="AD16" s="4">
        <f t="shared" si="4"/>
        <v>1.32877885788299</v>
      </c>
      <c r="AE16" s="4">
        <f t="shared" si="4"/>
        <v>1.15463284991546</v>
      </c>
      <c r="AF16" s="4">
        <f t="shared" si="4"/>
        <v>1.03883423244345</v>
      </c>
      <c r="AG16" s="4">
        <f t="shared" si="4"/>
        <v>0.951993562336091</v>
      </c>
      <c r="AH16" s="4">
        <f t="shared" si="4"/>
        <v>0.626581368166208</v>
      </c>
      <c r="AI16" s="4">
        <f t="shared" si="3"/>
        <v>0.442953288970549</v>
      </c>
      <c r="AJ16" s="4">
        <f t="shared" si="3"/>
        <v>0.355401965334779</v>
      </c>
    </row>
    <row r="17" spans="1:36">
      <c r="A17" t="str">
        <f>"post-semis_procurement_archetype_"&amp;TEXT(ROUND(Table2691617[[#This Row],[2016]],3),"0.0")</f>
        <v>post-semis_procurement_archetype_18.8</v>
      </c>
      <c r="B17" s="4">
        <f t="shared" si="2"/>
        <v>18.8</v>
      </c>
      <c r="C17" s="4">
        <f t="shared" si="1"/>
        <v>18.8</v>
      </c>
      <c r="D17" s="4">
        <f t="shared" si="1"/>
        <v>18.8</v>
      </c>
      <c r="E17" s="4">
        <f t="shared" si="1"/>
        <v>18.3054447650587</v>
      </c>
      <c r="F17" s="4">
        <f t="shared" si="1"/>
        <v>17.1098286415113</v>
      </c>
      <c r="G17" s="4">
        <f t="shared" si="1"/>
        <v>17.2769786980817</v>
      </c>
      <c r="H17" s="4">
        <f t="shared" si="1"/>
        <v>16.7580094986954</v>
      </c>
      <c r="I17" s="4">
        <f t="shared" si="1"/>
        <v>15.7540994288154</v>
      </c>
      <c r="J17" s="4">
        <f t="shared" si="1"/>
        <v>15.1901531320909</v>
      </c>
      <c r="K17" s="4">
        <f t="shared" si="1"/>
        <v>14.6112503360742</v>
      </c>
      <c r="L17" s="4">
        <f t="shared" si="1"/>
        <v>13.6968056185182</v>
      </c>
      <c r="M17" s="4">
        <f t="shared" si="1"/>
        <v>13.5858204563213</v>
      </c>
      <c r="N17" s="4">
        <f t="shared" si="1"/>
        <v>12.836545485632</v>
      </c>
      <c r="O17" s="4">
        <f t="shared" si="1"/>
        <v>12.0596096473329</v>
      </c>
      <c r="P17" s="4">
        <f t="shared" si="1"/>
        <v>11.1411106867342</v>
      </c>
      <c r="Q17" s="4">
        <f t="shared" si="1"/>
        <v>9.65806933765158</v>
      </c>
      <c r="R17" s="4">
        <f t="shared" si="1"/>
        <v>7.65739946772223</v>
      </c>
      <c r="S17" s="4">
        <f t="shared" si="4"/>
        <v>7.01938190444514</v>
      </c>
      <c r="T17" s="4">
        <f t="shared" si="4"/>
        <v>5.63251132017051</v>
      </c>
      <c r="U17" s="4">
        <f t="shared" si="4"/>
        <v>4.23486627309136</v>
      </c>
      <c r="V17" s="4">
        <f t="shared" si="4"/>
        <v>3.952887934332</v>
      </c>
      <c r="W17" s="4">
        <f t="shared" si="4"/>
        <v>3.10206530602457</v>
      </c>
      <c r="X17" s="4">
        <f t="shared" si="4"/>
        <v>2.67032088324924</v>
      </c>
      <c r="Y17" s="4">
        <f t="shared" si="4"/>
        <v>2.22123428297663</v>
      </c>
      <c r="Z17" s="4">
        <f t="shared" si="4"/>
        <v>2.1510596360262</v>
      </c>
      <c r="AA17" s="4">
        <f t="shared" si="4"/>
        <v>1.93633848310572</v>
      </c>
      <c r="AB17" s="4">
        <f t="shared" si="4"/>
        <v>1.62279998729011</v>
      </c>
      <c r="AC17" s="4">
        <f t="shared" si="4"/>
        <v>1.36600228335829</v>
      </c>
      <c r="AD17" s="4">
        <f t="shared" si="4"/>
        <v>1.32353001457709</v>
      </c>
      <c r="AE17" s="4">
        <f t="shared" si="4"/>
        <v>1.15032307257175</v>
      </c>
      <c r="AF17" s="4">
        <f t="shared" si="4"/>
        <v>1.03514888824871</v>
      </c>
      <c r="AG17" s="4">
        <f t="shared" si="4"/>
        <v>0.948776498283874</v>
      </c>
      <c r="AH17" s="4">
        <f t="shared" si="4"/>
        <v>0.625119058752304</v>
      </c>
      <c r="AI17" s="4">
        <f t="shared" si="3"/>
        <v>0.44248117669574</v>
      </c>
      <c r="AJ17" s="4">
        <f t="shared" si="3"/>
        <v>0.355401965334779</v>
      </c>
    </row>
    <row r="18" spans="1:36">
      <c r="A18" t="str">
        <f>"post-semis_procurement_archetype_"&amp;TEXT(ROUND(Table2691617[[#This Row],[2016]],3),"0.0")</f>
        <v>post-semis_procurement_archetype_18.7</v>
      </c>
      <c r="B18" s="4">
        <f t="shared" si="2"/>
        <v>18.7</v>
      </c>
      <c r="C18" s="4">
        <f t="shared" si="1"/>
        <v>18.7</v>
      </c>
      <c r="D18" s="4">
        <f t="shared" si="1"/>
        <v>18.7</v>
      </c>
      <c r="E18" s="4">
        <f t="shared" si="1"/>
        <v>18.208126066294</v>
      </c>
      <c r="F18" s="4">
        <f t="shared" si="1"/>
        <v>17.0189921448596</v>
      </c>
      <c r="G18" s="4">
        <f t="shared" si="1"/>
        <v>17.1852359737298</v>
      </c>
      <c r="H18" s="4">
        <f t="shared" si="1"/>
        <v>16.6690804393441</v>
      </c>
      <c r="I18" s="4">
        <f t="shared" si="1"/>
        <v>15.6706132100616</v>
      </c>
      <c r="J18" s="4">
        <f t="shared" si="1"/>
        <v>15.1097244280395</v>
      </c>
      <c r="K18" s="4">
        <f t="shared" si="1"/>
        <v>14.5339602355041</v>
      </c>
      <c r="L18" s="4">
        <f t="shared" si="1"/>
        <v>13.6244733094697</v>
      </c>
      <c r="M18" s="4">
        <f t="shared" si="1"/>
        <v>13.5140898690452</v>
      </c>
      <c r="N18" s="4">
        <f t="shared" si="1"/>
        <v>12.7688771987068</v>
      </c>
      <c r="O18" s="4">
        <f t="shared" si="1"/>
        <v>11.9961536280691</v>
      </c>
      <c r="P18" s="4">
        <f t="shared" si="1"/>
        <v>11.0826344396448</v>
      </c>
      <c r="Q18" s="4">
        <f t="shared" si="1"/>
        <v>9.60763360923488</v>
      </c>
      <c r="R18" s="4">
        <f t="shared" si="1"/>
        <v>7.6178106543002</v>
      </c>
      <c r="S18" s="4">
        <f t="shared" si="4"/>
        <v>6.9832521935857</v>
      </c>
      <c r="T18" s="4">
        <f t="shared" si="4"/>
        <v>5.60390072456458</v>
      </c>
      <c r="U18" s="4">
        <f t="shared" si="4"/>
        <v>4.21383320801472</v>
      </c>
      <c r="V18" s="4">
        <f t="shared" si="4"/>
        <v>3.93338365474708</v>
      </c>
      <c r="W18" s="4">
        <f t="shared" si="4"/>
        <v>3.08717388179549</v>
      </c>
      <c r="X18" s="4">
        <f t="shared" si="4"/>
        <v>2.65777022254325</v>
      </c>
      <c r="Y18" s="4">
        <f t="shared" si="4"/>
        <v>2.21111840886468</v>
      </c>
      <c r="Z18" s="4">
        <f t="shared" si="4"/>
        <v>2.14132422369942</v>
      </c>
      <c r="AA18" s="4">
        <f t="shared" si="4"/>
        <v>1.92776721191402</v>
      </c>
      <c r="AB18" s="4">
        <f t="shared" si="4"/>
        <v>1.61592860945052</v>
      </c>
      <c r="AC18" s="4">
        <f t="shared" si="4"/>
        <v>1.36052317063312</v>
      </c>
      <c r="AD18" s="4">
        <f t="shared" si="4"/>
        <v>1.31828117127119</v>
      </c>
      <c r="AE18" s="4">
        <f t="shared" si="4"/>
        <v>1.14601329522804</v>
      </c>
      <c r="AF18" s="4">
        <f t="shared" si="4"/>
        <v>1.03146354405397</v>
      </c>
      <c r="AG18" s="4">
        <f t="shared" si="4"/>
        <v>0.945559434231658</v>
      </c>
      <c r="AH18" s="4">
        <f t="shared" si="4"/>
        <v>0.623656749338401</v>
      </c>
      <c r="AI18" s="4">
        <f t="shared" si="3"/>
        <v>0.44200906442093</v>
      </c>
      <c r="AJ18" s="4">
        <f t="shared" si="3"/>
        <v>0.355401965334779</v>
      </c>
    </row>
    <row r="19" spans="1:36">
      <c r="A19" t="str">
        <f>"post-semis_procurement_archetype_"&amp;TEXT(ROUND(Table2691617[[#This Row],[2016]],3),"0.0")</f>
        <v>post-semis_procurement_archetype_18.6</v>
      </c>
      <c r="B19" s="4">
        <f t="shared" si="2"/>
        <v>18.6</v>
      </c>
      <c r="C19" s="4">
        <f t="shared" si="1"/>
        <v>18.6</v>
      </c>
      <c r="D19" s="4">
        <f t="shared" si="1"/>
        <v>18.6</v>
      </c>
      <c r="E19" s="4">
        <f t="shared" si="1"/>
        <v>18.1108073675292</v>
      </c>
      <c r="F19" s="4">
        <f t="shared" si="1"/>
        <v>16.928155648208</v>
      </c>
      <c r="G19" s="4">
        <f t="shared" si="1"/>
        <v>17.093493249378</v>
      </c>
      <c r="H19" s="4">
        <f t="shared" si="1"/>
        <v>16.5801513799927</v>
      </c>
      <c r="I19" s="4">
        <f t="shared" si="1"/>
        <v>15.5871269913078</v>
      </c>
      <c r="J19" s="4">
        <f t="shared" si="1"/>
        <v>15.0292957239882</v>
      </c>
      <c r="K19" s="4">
        <f t="shared" si="1"/>
        <v>14.4566701349341</v>
      </c>
      <c r="L19" s="4">
        <f t="shared" si="1"/>
        <v>13.5521410004213</v>
      </c>
      <c r="M19" s="4">
        <f t="shared" si="1"/>
        <v>13.442359281769</v>
      </c>
      <c r="N19" s="4">
        <f t="shared" si="1"/>
        <v>12.7012089117816</v>
      </c>
      <c r="O19" s="4">
        <f t="shared" si="1"/>
        <v>11.9326976088054</v>
      </c>
      <c r="P19" s="4">
        <f t="shared" si="1"/>
        <v>11.0241581925554</v>
      </c>
      <c r="Q19" s="4">
        <f t="shared" si="1"/>
        <v>9.55719788081817</v>
      </c>
      <c r="R19" s="4">
        <f t="shared" si="1"/>
        <v>7.57822184087817</v>
      </c>
      <c r="S19" s="4">
        <f t="shared" si="4"/>
        <v>6.94712248272626</v>
      </c>
      <c r="T19" s="4">
        <f t="shared" si="4"/>
        <v>5.57529012895866</v>
      </c>
      <c r="U19" s="4">
        <f t="shared" si="4"/>
        <v>4.19280014293808</v>
      </c>
      <c r="V19" s="4">
        <f t="shared" si="4"/>
        <v>3.91387937516215</v>
      </c>
      <c r="W19" s="4">
        <f t="shared" si="4"/>
        <v>3.07228245756642</v>
      </c>
      <c r="X19" s="4">
        <f t="shared" si="4"/>
        <v>2.64521956183726</v>
      </c>
      <c r="Y19" s="4">
        <f t="shared" si="4"/>
        <v>2.20100253475273</v>
      </c>
      <c r="Z19" s="4">
        <f t="shared" si="4"/>
        <v>2.13158881137264</v>
      </c>
      <c r="AA19" s="4">
        <f t="shared" si="4"/>
        <v>1.91919594072231</v>
      </c>
      <c r="AB19" s="4">
        <f t="shared" si="4"/>
        <v>1.60905723161093</v>
      </c>
      <c r="AC19" s="4">
        <f t="shared" si="4"/>
        <v>1.35504405790795</v>
      </c>
      <c r="AD19" s="4">
        <f t="shared" si="4"/>
        <v>1.31303232796529</v>
      </c>
      <c r="AE19" s="4">
        <f t="shared" si="4"/>
        <v>1.14170351788432</v>
      </c>
      <c r="AF19" s="4">
        <f t="shared" si="4"/>
        <v>1.02777819985923</v>
      </c>
      <c r="AG19" s="4">
        <f t="shared" si="4"/>
        <v>0.942342370179441</v>
      </c>
      <c r="AH19" s="4">
        <f t="shared" si="4"/>
        <v>0.622194439924498</v>
      </c>
      <c r="AI19" s="4">
        <f t="shared" si="3"/>
        <v>0.44153695214612</v>
      </c>
      <c r="AJ19" s="4">
        <f t="shared" si="3"/>
        <v>0.355401965334779</v>
      </c>
    </row>
    <row r="20" spans="1:36">
      <c r="A20" t="str">
        <f>"post-semis_procurement_archetype_"&amp;TEXT(ROUND(Table2691617[[#This Row],[2016]],3),"0.0")</f>
        <v>post-semis_procurement_archetype_18.5</v>
      </c>
      <c r="B20" s="4">
        <f t="shared" si="2"/>
        <v>18.5</v>
      </c>
      <c r="C20" s="4">
        <f t="shared" si="1"/>
        <v>18.5</v>
      </c>
      <c r="D20" s="4">
        <f t="shared" si="1"/>
        <v>18.5</v>
      </c>
      <c r="E20" s="4">
        <f t="shared" si="1"/>
        <v>18.0134886687645</v>
      </c>
      <c r="F20" s="4">
        <f t="shared" si="1"/>
        <v>16.8373191515563</v>
      </c>
      <c r="G20" s="4">
        <f t="shared" si="1"/>
        <v>17.0017505250262</v>
      </c>
      <c r="H20" s="4">
        <f t="shared" si="1"/>
        <v>16.4912223206414</v>
      </c>
      <c r="I20" s="4">
        <f t="shared" si="1"/>
        <v>15.503640772554</v>
      </c>
      <c r="J20" s="4">
        <f t="shared" si="1"/>
        <v>14.9488670199369</v>
      </c>
      <c r="K20" s="4">
        <f t="shared" si="1"/>
        <v>14.379380034364</v>
      </c>
      <c r="L20" s="4">
        <f t="shared" si="1"/>
        <v>13.4798086913728</v>
      </c>
      <c r="M20" s="4">
        <f t="shared" si="1"/>
        <v>13.3706286944929</v>
      </c>
      <c r="N20" s="4">
        <f t="shared" si="1"/>
        <v>12.6335406248564</v>
      </c>
      <c r="O20" s="4">
        <f t="shared" si="1"/>
        <v>11.8692415895416</v>
      </c>
      <c r="P20" s="4">
        <f t="shared" si="1"/>
        <v>10.965681945466</v>
      </c>
      <c r="Q20" s="4">
        <f t="shared" si="1"/>
        <v>9.50676215240147</v>
      </c>
      <c r="R20" s="4">
        <f t="shared" si="1"/>
        <v>7.53863302745614</v>
      </c>
      <c r="S20" s="4">
        <f t="shared" si="4"/>
        <v>6.91099277186682</v>
      </c>
      <c r="T20" s="4">
        <f t="shared" si="4"/>
        <v>5.54667953335274</v>
      </c>
      <c r="U20" s="4">
        <f t="shared" si="4"/>
        <v>4.17176707786143</v>
      </c>
      <c r="V20" s="4">
        <f t="shared" si="4"/>
        <v>3.89437509557722</v>
      </c>
      <c r="W20" s="4">
        <f t="shared" si="4"/>
        <v>3.05739103333734</v>
      </c>
      <c r="X20" s="4">
        <f t="shared" si="4"/>
        <v>2.63266890113127</v>
      </c>
      <c r="Y20" s="4">
        <f t="shared" si="4"/>
        <v>2.19088666064078</v>
      </c>
      <c r="Z20" s="4">
        <f t="shared" si="4"/>
        <v>2.12185339904586</v>
      </c>
      <c r="AA20" s="4">
        <f t="shared" si="4"/>
        <v>1.91062466953061</v>
      </c>
      <c r="AB20" s="4">
        <f t="shared" si="4"/>
        <v>1.60218585377134</v>
      </c>
      <c r="AC20" s="4">
        <f t="shared" si="4"/>
        <v>1.34956494518279</v>
      </c>
      <c r="AD20" s="4">
        <f t="shared" si="4"/>
        <v>1.30778348465939</v>
      </c>
      <c r="AE20" s="4">
        <f t="shared" si="4"/>
        <v>1.13739374054061</v>
      </c>
      <c r="AF20" s="4">
        <f t="shared" si="4"/>
        <v>1.02409285566449</v>
      </c>
      <c r="AG20" s="4">
        <f t="shared" si="4"/>
        <v>0.939125306127224</v>
      </c>
      <c r="AH20" s="4">
        <f t="shared" si="4"/>
        <v>0.620732130510595</v>
      </c>
      <c r="AI20" s="4">
        <f t="shared" si="3"/>
        <v>0.441064839871311</v>
      </c>
      <c r="AJ20" s="4">
        <f t="shared" si="3"/>
        <v>0.355401965334779</v>
      </c>
    </row>
    <row r="21" spans="1:36">
      <c r="A21" t="str">
        <f>"post-semis_procurement_archetype_"&amp;TEXT(ROUND(Table2691617[[#This Row],[2016]],3),"0.0")</f>
        <v>post-semis_procurement_archetype_18.4</v>
      </c>
      <c r="B21" s="4">
        <f t="shared" si="2"/>
        <v>18.4</v>
      </c>
      <c r="C21" s="4">
        <f t="shared" si="1"/>
        <v>18.4</v>
      </c>
      <c r="D21" s="4">
        <f t="shared" si="1"/>
        <v>18.4</v>
      </c>
      <c r="E21" s="4">
        <f t="shared" si="1"/>
        <v>17.9161699699997</v>
      </c>
      <c r="F21" s="4">
        <f t="shared" si="1"/>
        <v>16.7464826549046</v>
      </c>
      <c r="G21" s="4">
        <f t="shared" si="1"/>
        <v>16.9100078006743</v>
      </c>
      <c r="H21" s="4">
        <f t="shared" si="1"/>
        <v>16.4022932612901</v>
      </c>
      <c r="I21" s="4">
        <f t="shared" si="1"/>
        <v>15.4201545538002</v>
      </c>
      <c r="J21" s="4">
        <f t="shared" si="1"/>
        <v>14.8684383158856</v>
      </c>
      <c r="K21" s="4">
        <f t="shared" si="1"/>
        <v>14.3020899337939</v>
      </c>
      <c r="L21" s="4">
        <f t="shared" si="1"/>
        <v>13.4074763823243</v>
      </c>
      <c r="M21" s="4">
        <f t="shared" si="1"/>
        <v>13.2988981072168</v>
      </c>
      <c r="N21" s="4">
        <f t="shared" si="1"/>
        <v>12.5658723379312</v>
      </c>
      <c r="O21" s="4">
        <f t="shared" si="1"/>
        <v>11.8057855702779</v>
      </c>
      <c r="P21" s="4">
        <f t="shared" si="1"/>
        <v>10.9072056983766</v>
      </c>
      <c r="Q21" s="4">
        <f t="shared" si="1"/>
        <v>9.45632642398476</v>
      </c>
      <c r="R21" s="4">
        <f t="shared" si="1"/>
        <v>7.49904421403411</v>
      </c>
      <c r="S21" s="4">
        <f t="shared" si="4"/>
        <v>6.87486306100738</v>
      </c>
      <c r="T21" s="4">
        <f t="shared" si="4"/>
        <v>5.51806893774682</v>
      </c>
      <c r="U21" s="4">
        <f t="shared" si="4"/>
        <v>4.15073401278479</v>
      </c>
      <c r="V21" s="4">
        <f t="shared" si="4"/>
        <v>3.87487081599229</v>
      </c>
      <c r="W21" s="4">
        <f t="shared" si="4"/>
        <v>3.04249960910826</v>
      </c>
      <c r="X21" s="4">
        <f t="shared" si="4"/>
        <v>2.62011824042528</v>
      </c>
      <c r="Y21" s="4">
        <f t="shared" si="4"/>
        <v>2.18077078652883</v>
      </c>
      <c r="Z21" s="4">
        <f t="shared" si="4"/>
        <v>2.11211798671908</v>
      </c>
      <c r="AA21" s="4">
        <f t="shared" si="4"/>
        <v>1.9020533983389</v>
      </c>
      <c r="AB21" s="4">
        <f t="shared" si="4"/>
        <v>1.59531447593175</v>
      </c>
      <c r="AC21" s="4">
        <f t="shared" si="4"/>
        <v>1.34408583245762</v>
      </c>
      <c r="AD21" s="4">
        <f t="shared" si="4"/>
        <v>1.3025346413535</v>
      </c>
      <c r="AE21" s="4">
        <f t="shared" si="4"/>
        <v>1.1330839631969</v>
      </c>
      <c r="AF21" s="4">
        <f t="shared" si="4"/>
        <v>1.02040751146974</v>
      </c>
      <c r="AG21" s="4">
        <f t="shared" si="4"/>
        <v>0.935908242075007</v>
      </c>
      <c r="AH21" s="4">
        <f t="shared" si="4"/>
        <v>0.619269821096691</v>
      </c>
      <c r="AI21" s="4">
        <f t="shared" si="3"/>
        <v>0.440592727596501</v>
      </c>
      <c r="AJ21" s="4">
        <f t="shared" si="3"/>
        <v>0.355401965334779</v>
      </c>
    </row>
    <row r="22" spans="1:36">
      <c r="A22" t="str">
        <f>"post-semis_procurement_archetype_"&amp;TEXT(ROUND(Table2691617[[#This Row],[2016]],3),"0.0")</f>
        <v>post-semis_procurement_archetype_18.3</v>
      </c>
      <c r="B22" s="4">
        <f t="shared" si="2"/>
        <v>18.3</v>
      </c>
      <c r="C22" s="4">
        <f t="shared" si="1"/>
        <v>18.3</v>
      </c>
      <c r="D22" s="4">
        <f t="shared" si="1"/>
        <v>18.3</v>
      </c>
      <c r="E22" s="4">
        <f t="shared" si="1"/>
        <v>17.818851271235</v>
      </c>
      <c r="F22" s="4">
        <f t="shared" si="1"/>
        <v>16.6556461582529</v>
      </c>
      <c r="G22" s="4">
        <f t="shared" si="1"/>
        <v>16.8182650763225</v>
      </c>
      <c r="H22" s="4">
        <f t="shared" si="1"/>
        <v>16.3133642019388</v>
      </c>
      <c r="I22" s="4">
        <f t="shared" si="1"/>
        <v>15.3366683350464</v>
      </c>
      <c r="J22" s="4">
        <f t="shared" si="1"/>
        <v>14.7880096118343</v>
      </c>
      <c r="K22" s="4">
        <f t="shared" si="1"/>
        <v>14.2247998332238</v>
      </c>
      <c r="L22" s="4">
        <f t="shared" si="1"/>
        <v>13.3351440732758</v>
      </c>
      <c r="M22" s="4">
        <f t="shared" si="1"/>
        <v>13.2271675199407</v>
      </c>
      <c r="N22" s="4">
        <f t="shared" si="1"/>
        <v>12.498204051006</v>
      </c>
      <c r="O22" s="4">
        <f t="shared" si="1"/>
        <v>11.7423295510141</v>
      </c>
      <c r="P22" s="4">
        <f t="shared" si="1"/>
        <v>10.8487294512872</v>
      </c>
      <c r="Q22" s="4">
        <f t="shared" si="1"/>
        <v>9.40589069556806</v>
      </c>
      <c r="R22" s="4">
        <f t="shared" si="1"/>
        <v>7.45945540061207</v>
      </c>
      <c r="S22" s="4">
        <f t="shared" si="4"/>
        <v>6.83873335014794</v>
      </c>
      <c r="T22" s="4">
        <f t="shared" si="4"/>
        <v>5.4894583421409</v>
      </c>
      <c r="U22" s="4">
        <f t="shared" si="4"/>
        <v>4.12970094770814</v>
      </c>
      <c r="V22" s="4">
        <f t="shared" si="4"/>
        <v>3.85536653640737</v>
      </c>
      <c r="W22" s="4">
        <f t="shared" si="4"/>
        <v>3.02760818487919</v>
      </c>
      <c r="X22" s="4">
        <f t="shared" si="4"/>
        <v>2.60756757971929</v>
      </c>
      <c r="Y22" s="4">
        <f t="shared" si="4"/>
        <v>2.17065491241688</v>
      </c>
      <c r="Z22" s="4">
        <f t="shared" si="4"/>
        <v>2.10238257439231</v>
      </c>
      <c r="AA22" s="4">
        <f t="shared" si="4"/>
        <v>1.8934821271472</v>
      </c>
      <c r="AB22" s="4">
        <f t="shared" si="4"/>
        <v>1.58844309809216</v>
      </c>
      <c r="AC22" s="4">
        <f t="shared" si="4"/>
        <v>1.33860671973245</v>
      </c>
      <c r="AD22" s="4">
        <f t="shared" si="4"/>
        <v>1.2972857980476</v>
      </c>
      <c r="AE22" s="4">
        <f t="shared" si="4"/>
        <v>1.12877418585318</v>
      </c>
      <c r="AF22" s="4">
        <f t="shared" si="4"/>
        <v>1.016722167275</v>
      </c>
      <c r="AG22" s="4">
        <f t="shared" si="4"/>
        <v>0.932691178022791</v>
      </c>
      <c r="AH22" s="4">
        <f t="shared" si="4"/>
        <v>0.617807511682788</v>
      </c>
      <c r="AI22" s="4">
        <f t="shared" si="3"/>
        <v>0.440120615321691</v>
      </c>
      <c r="AJ22" s="4">
        <f t="shared" si="3"/>
        <v>0.355401965334779</v>
      </c>
    </row>
    <row r="23" spans="1:36">
      <c r="A23" t="str">
        <f>"post-semis_procurement_archetype_"&amp;TEXT(ROUND(Table2691617[[#This Row],[2016]],3),"0.0")</f>
        <v>post-semis_procurement_archetype_18.2</v>
      </c>
      <c r="B23" s="4">
        <f t="shared" si="2"/>
        <v>18.2</v>
      </c>
      <c r="C23" s="4">
        <f t="shared" si="1"/>
        <v>18.2</v>
      </c>
      <c r="D23" s="4">
        <f t="shared" si="1"/>
        <v>18.2</v>
      </c>
      <c r="E23" s="4">
        <f t="shared" si="1"/>
        <v>17.7215325724702</v>
      </c>
      <c r="F23" s="4">
        <f t="shared" si="1"/>
        <v>16.5648096616012</v>
      </c>
      <c r="G23" s="4">
        <f t="shared" si="1"/>
        <v>16.7265223519707</v>
      </c>
      <c r="H23" s="4">
        <f t="shared" si="1"/>
        <v>16.2244351425874</v>
      </c>
      <c r="I23" s="4">
        <f t="shared" si="1"/>
        <v>15.2531821162926</v>
      </c>
      <c r="J23" s="4">
        <f t="shared" si="1"/>
        <v>14.707580907783</v>
      </c>
      <c r="K23" s="4">
        <f t="shared" si="1"/>
        <v>14.1475097326538</v>
      </c>
      <c r="L23" s="4">
        <f t="shared" si="1"/>
        <v>13.2628117642273</v>
      </c>
      <c r="M23" s="4">
        <f t="shared" si="1"/>
        <v>13.1554369326645</v>
      </c>
      <c r="N23" s="4">
        <f t="shared" si="1"/>
        <v>12.4305357640808</v>
      </c>
      <c r="O23" s="4">
        <f t="shared" si="1"/>
        <v>11.6788735317504</v>
      </c>
      <c r="P23" s="4">
        <f t="shared" si="1"/>
        <v>10.7902532041977</v>
      </c>
      <c r="Q23" s="4">
        <f t="shared" si="1"/>
        <v>9.35545496715135</v>
      </c>
      <c r="R23" s="4">
        <f t="shared" si="1"/>
        <v>7.41986658719004</v>
      </c>
      <c r="S23" s="4">
        <f t="shared" si="4"/>
        <v>6.8026036392885</v>
      </c>
      <c r="T23" s="4">
        <f t="shared" si="4"/>
        <v>5.46084774653498</v>
      </c>
      <c r="U23" s="4">
        <f t="shared" si="4"/>
        <v>4.1086678826315</v>
      </c>
      <c r="V23" s="4">
        <f t="shared" si="4"/>
        <v>3.83586225682244</v>
      </c>
      <c r="W23" s="4">
        <f t="shared" si="4"/>
        <v>3.01271676065011</v>
      </c>
      <c r="X23" s="4">
        <f t="shared" si="4"/>
        <v>2.59501691901331</v>
      </c>
      <c r="Y23" s="4">
        <f t="shared" si="4"/>
        <v>2.16053903830493</v>
      </c>
      <c r="Z23" s="4">
        <f t="shared" si="4"/>
        <v>2.09264716206553</v>
      </c>
      <c r="AA23" s="4">
        <f t="shared" si="4"/>
        <v>1.88491085595549</v>
      </c>
      <c r="AB23" s="4">
        <f t="shared" si="4"/>
        <v>1.58157172025257</v>
      </c>
      <c r="AC23" s="4">
        <f t="shared" si="4"/>
        <v>1.33312760700728</v>
      </c>
      <c r="AD23" s="4">
        <f t="shared" si="4"/>
        <v>1.2920369547417</v>
      </c>
      <c r="AE23" s="4">
        <f t="shared" si="4"/>
        <v>1.12446440850947</v>
      </c>
      <c r="AF23" s="4">
        <f t="shared" si="4"/>
        <v>1.01303682308026</v>
      </c>
      <c r="AG23" s="4">
        <f t="shared" si="4"/>
        <v>0.929474113970574</v>
      </c>
      <c r="AH23" s="4">
        <f t="shared" si="4"/>
        <v>0.616345202268885</v>
      </c>
      <c r="AI23" s="4">
        <f t="shared" si="3"/>
        <v>0.439648503046882</v>
      </c>
      <c r="AJ23" s="4">
        <f t="shared" si="3"/>
        <v>0.355401965334779</v>
      </c>
    </row>
    <row r="24" spans="1:36">
      <c r="A24" t="str">
        <f>"post-semis_procurement_archetype_"&amp;TEXT(ROUND(Table2691617[[#This Row],[2016]],3),"0.0")</f>
        <v>post-semis_procurement_archetype_18.1</v>
      </c>
      <c r="B24" s="4">
        <f t="shared" si="2"/>
        <v>18.1</v>
      </c>
      <c r="C24" s="4">
        <f t="shared" si="1"/>
        <v>18.1</v>
      </c>
      <c r="D24" s="4">
        <f t="shared" si="1"/>
        <v>18.1</v>
      </c>
      <c r="E24" s="4">
        <f t="shared" si="1"/>
        <v>17.6242138737055</v>
      </c>
      <c r="F24" s="4">
        <f t="shared" si="1"/>
        <v>16.4739731649495</v>
      </c>
      <c r="G24" s="4">
        <f t="shared" si="1"/>
        <v>16.6347796276188</v>
      </c>
      <c r="H24" s="4">
        <f t="shared" si="1"/>
        <v>16.1355060832361</v>
      </c>
      <c r="I24" s="4">
        <f t="shared" si="1"/>
        <v>15.1696958975388</v>
      </c>
      <c r="J24" s="4">
        <f t="shared" si="1"/>
        <v>14.6271522037316</v>
      </c>
      <c r="K24" s="4">
        <f t="shared" si="1"/>
        <v>14.0702196320837</v>
      </c>
      <c r="L24" s="4">
        <f t="shared" si="1"/>
        <v>13.1904794551789</v>
      </c>
      <c r="M24" s="4">
        <f t="shared" si="1"/>
        <v>13.0837063453884</v>
      </c>
      <c r="N24" s="4">
        <f t="shared" si="1"/>
        <v>12.3628674771556</v>
      </c>
      <c r="O24" s="4">
        <f t="shared" si="1"/>
        <v>11.6154175124866</v>
      </c>
      <c r="P24" s="4">
        <f t="shared" si="1"/>
        <v>10.7317769571083</v>
      </c>
      <c r="Q24" s="4">
        <f t="shared" si="1"/>
        <v>9.30501923873464</v>
      </c>
      <c r="R24" s="4">
        <f t="shared" si="1"/>
        <v>7.38027777376801</v>
      </c>
      <c r="S24" s="4">
        <f t="shared" si="4"/>
        <v>6.76647392842906</v>
      </c>
      <c r="T24" s="4">
        <f t="shared" si="4"/>
        <v>5.43223715092906</v>
      </c>
      <c r="U24" s="4">
        <f t="shared" si="4"/>
        <v>4.08763481755485</v>
      </c>
      <c r="V24" s="4">
        <f t="shared" si="4"/>
        <v>3.81635797723751</v>
      </c>
      <c r="W24" s="4">
        <f t="shared" si="4"/>
        <v>2.99782533642104</v>
      </c>
      <c r="X24" s="4">
        <f t="shared" si="4"/>
        <v>2.58246625830732</v>
      </c>
      <c r="Y24" s="4">
        <f t="shared" si="4"/>
        <v>2.15042316419298</v>
      </c>
      <c r="Z24" s="4">
        <f t="shared" si="4"/>
        <v>2.08291174973875</v>
      </c>
      <c r="AA24" s="4">
        <f t="shared" si="4"/>
        <v>1.87633958476379</v>
      </c>
      <c r="AB24" s="4">
        <f t="shared" si="4"/>
        <v>1.57470034241298</v>
      </c>
      <c r="AC24" s="4">
        <f t="shared" si="4"/>
        <v>1.32764849428211</v>
      </c>
      <c r="AD24" s="4">
        <f t="shared" si="4"/>
        <v>1.2867881114358</v>
      </c>
      <c r="AE24" s="4">
        <f t="shared" si="4"/>
        <v>1.12015463116576</v>
      </c>
      <c r="AF24" s="4">
        <f t="shared" si="4"/>
        <v>1.00935147888552</v>
      </c>
      <c r="AG24" s="4">
        <f t="shared" si="4"/>
        <v>0.926257049918357</v>
      </c>
      <c r="AH24" s="4">
        <f t="shared" si="4"/>
        <v>0.614882892854982</v>
      </c>
      <c r="AI24" s="4">
        <f t="shared" si="3"/>
        <v>0.439176390772072</v>
      </c>
      <c r="AJ24" s="4">
        <f t="shared" si="3"/>
        <v>0.355401965334779</v>
      </c>
    </row>
    <row r="25" spans="1:36">
      <c r="A25" t="str">
        <f>"post-semis_procurement_archetype_"&amp;TEXT(ROUND(Table2691617[[#This Row],[2016]],3),"0.0")</f>
        <v>post-semis_procurement_archetype_18.0</v>
      </c>
      <c r="B25" s="4">
        <f t="shared" si="2"/>
        <v>18</v>
      </c>
      <c r="C25" s="4">
        <f t="shared" si="1"/>
        <v>18</v>
      </c>
      <c r="D25" s="4">
        <f t="shared" si="1"/>
        <v>18</v>
      </c>
      <c r="E25" s="4">
        <f t="shared" si="1"/>
        <v>17.5268951749407</v>
      </c>
      <c r="F25" s="4">
        <f t="shared" si="1"/>
        <v>16.3831366682978</v>
      </c>
      <c r="G25" s="4">
        <f t="shared" si="1"/>
        <v>16.543036903267</v>
      </c>
      <c r="H25" s="4">
        <f t="shared" si="1"/>
        <v>16.0465770238848</v>
      </c>
      <c r="I25" s="4">
        <f t="shared" si="1"/>
        <v>15.0862096787849</v>
      </c>
      <c r="J25" s="4">
        <f t="shared" si="1"/>
        <v>14.5467234996803</v>
      </c>
      <c r="K25" s="4">
        <f t="shared" si="1"/>
        <v>13.9929295315136</v>
      </c>
      <c r="L25" s="4">
        <f t="shared" si="1"/>
        <v>13.1181471461304</v>
      </c>
      <c r="M25" s="4">
        <f t="shared" si="1"/>
        <v>13.0119757581123</v>
      </c>
      <c r="N25" s="4">
        <f t="shared" si="1"/>
        <v>12.2951991902304</v>
      </c>
      <c r="O25" s="4">
        <f t="shared" si="1"/>
        <v>11.5519614932229</v>
      </c>
      <c r="P25" s="4">
        <f t="shared" si="1"/>
        <v>10.6733007100189</v>
      </c>
      <c r="Q25" s="4">
        <f t="shared" si="1"/>
        <v>9.25458351031794</v>
      </c>
      <c r="R25" s="4">
        <f t="shared" si="1"/>
        <v>7.34068896034598</v>
      </c>
      <c r="S25" s="4">
        <f t="shared" si="4"/>
        <v>6.73034421756962</v>
      </c>
      <c r="T25" s="4">
        <f t="shared" si="4"/>
        <v>5.40362655532314</v>
      </c>
      <c r="U25" s="4">
        <f t="shared" si="4"/>
        <v>4.06660175247821</v>
      </c>
      <c r="V25" s="4">
        <f t="shared" si="4"/>
        <v>3.79685369765258</v>
      </c>
      <c r="W25" s="4">
        <f t="shared" si="4"/>
        <v>2.98293391219196</v>
      </c>
      <c r="X25" s="4">
        <f t="shared" si="4"/>
        <v>2.56991559760133</v>
      </c>
      <c r="Y25" s="4">
        <f t="shared" si="4"/>
        <v>2.14030729008103</v>
      </c>
      <c r="Z25" s="4">
        <f t="shared" si="4"/>
        <v>2.07317633741197</v>
      </c>
      <c r="AA25" s="4">
        <f t="shared" si="4"/>
        <v>1.86776831357209</v>
      </c>
      <c r="AB25" s="4">
        <f t="shared" si="4"/>
        <v>1.56782896457339</v>
      </c>
      <c r="AC25" s="4">
        <f t="shared" si="4"/>
        <v>1.32216938155694</v>
      </c>
      <c r="AD25" s="4">
        <f t="shared" si="4"/>
        <v>1.2815392681299</v>
      </c>
      <c r="AE25" s="4">
        <f t="shared" si="4"/>
        <v>1.11584485382204</v>
      </c>
      <c r="AF25" s="4">
        <f t="shared" si="4"/>
        <v>1.00566613469078</v>
      </c>
      <c r="AG25" s="4">
        <f t="shared" si="4"/>
        <v>0.92303998586614</v>
      </c>
      <c r="AH25" s="4">
        <f t="shared" si="4"/>
        <v>0.613420583441078</v>
      </c>
      <c r="AI25" s="4">
        <f t="shared" si="3"/>
        <v>0.438704278497262</v>
      </c>
      <c r="AJ25" s="4">
        <f t="shared" si="3"/>
        <v>0.355401965334779</v>
      </c>
    </row>
    <row r="26" spans="1:36">
      <c r="A26" t="str">
        <f>"post-semis_procurement_archetype_"&amp;TEXT(ROUND(Table2691617[[#This Row],[2016]],3),"0.0")</f>
        <v>post-semis_procurement_archetype_17.9</v>
      </c>
      <c r="B26" s="4">
        <f t="shared" si="2"/>
        <v>17.9</v>
      </c>
      <c r="C26" s="4">
        <f t="shared" si="1"/>
        <v>17.9</v>
      </c>
      <c r="D26" s="4">
        <f t="shared" si="1"/>
        <v>17.9</v>
      </c>
      <c r="E26" s="4">
        <f t="shared" si="1"/>
        <v>17.429576476176</v>
      </c>
      <c r="F26" s="4">
        <f t="shared" si="1"/>
        <v>16.2923001716461</v>
      </c>
      <c r="G26" s="4">
        <f t="shared" si="1"/>
        <v>16.4512941789152</v>
      </c>
      <c r="H26" s="4">
        <f t="shared" si="1"/>
        <v>15.9576479645335</v>
      </c>
      <c r="I26" s="4">
        <f t="shared" si="1"/>
        <v>15.0027234600311</v>
      </c>
      <c r="J26" s="4">
        <f t="shared" si="1"/>
        <v>14.466294795629</v>
      </c>
      <c r="K26" s="4">
        <f t="shared" si="1"/>
        <v>13.9156394309435</v>
      </c>
      <c r="L26" s="4">
        <f t="shared" si="1"/>
        <v>13.0458148370819</v>
      </c>
      <c r="M26" s="4">
        <f t="shared" si="1"/>
        <v>12.9402451708362</v>
      </c>
      <c r="N26" s="4">
        <f t="shared" si="1"/>
        <v>12.2275309033052</v>
      </c>
      <c r="O26" s="4">
        <f t="shared" si="1"/>
        <v>11.4885054739591</v>
      </c>
      <c r="P26" s="4">
        <f t="shared" si="1"/>
        <v>10.6148244629295</v>
      </c>
      <c r="Q26" s="4">
        <f t="shared" si="1"/>
        <v>9.20414778190123</v>
      </c>
      <c r="R26" s="4">
        <f t="shared" si="1"/>
        <v>7.30110014692394</v>
      </c>
      <c r="S26" s="4">
        <f t="shared" si="4"/>
        <v>6.69421450671018</v>
      </c>
      <c r="T26" s="4">
        <f t="shared" si="4"/>
        <v>5.37501595971722</v>
      </c>
      <c r="U26" s="4">
        <f t="shared" si="4"/>
        <v>4.04556868740157</v>
      </c>
      <c r="V26" s="4">
        <f t="shared" si="4"/>
        <v>3.77734941806765</v>
      </c>
      <c r="W26" s="4">
        <f t="shared" si="4"/>
        <v>2.96804248796288</v>
      </c>
      <c r="X26" s="4">
        <f t="shared" si="4"/>
        <v>2.55736493689534</v>
      </c>
      <c r="Y26" s="4">
        <f t="shared" si="4"/>
        <v>2.13019141596908</v>
      </c>
      <c r="Z26" s="4">
        <f t="shared" si="4"/>
        <v>2.06344092508519</v>
      </c>
      <c r="AA26" s="4">
        <f t="shared" si="4"/>
        <v>1.85919704238038</v>
      </c>
      <c r="AB26" s="4">
        <f t="shared" si="4"/>
        <v>1.5609575867338</v>
      </c>
      <c r="AC26" s="4">
        <f t="shared" si="4"/>
        <v>1.31669026883177</v>
      </c>
      <c r="AD26" s="4">
        <f t="shared" si="4"/>
        <v>1.27629042482401</v>
      </c>
      <c r="AE26" s="4">
        <f t="shared" si="4"/>
        <v>1.11153507647833</v>
      </c>
      <c r="AF26" s="4">
        <f t="shared" si="4"/>
        <v>1.00198079049604</v>
      </c>
      <c r="AG26" s="4">
        <f t="shared" si="4"/>
        <v>0.919822921813924</v>
      </c>
      <c r="AH26" s="4">
        <f t="shared" si="4"/>
        <v>0.611958274027175</v>
      </c>
      <c r="AI26" s="4">
        <f t="shared" si="3"/>
        <v>0.438232166222453</v>
      </c>
      <c r="AJ26" s="4">
        <f t="shared" si="3"/>
        <v>0.355401965334779</v>
      </c>
    </row>
    <row r="27" spans="1:36">
      <c r="A27" t="str">
        <f>"post-semis_procurement_archetype_"&amp;TEXT(ROUND(Table2691617[[#This Row],[2016]],3),"0.0")</f>
        <v>post-semis_procurement_archetype_17.8</v>
      </c>
      <c r="B27" s="4">
        <f t="shared" si="2"/>
        <v>17.8</v>
      </c>
      <c r="C27" s="4">
        <f t="shared" si="1"/>
        <v>17.8</v>
      </c>
      <c r="D27" s="4">
        <f t="shared" si="1"/>
        <v>17.8</v>
      </c>
      <c r="E27" s="4">
        <f t="shared" si="1"/>
        <v>17.3322577774113</v>
      </c>
      <c r="F27" s="4">
        <f t="shared" si="1"/>
        <v>16.2014636749944</v>
      </c>
      <c r="G27" s="4">
        <f t="shared" si="1"/>
        <v>16.3595514545633</v>
      </c>
      <c r="H27" s="4">
        <f t="shared" si="1"/>
        <v>15.8687189051821</v>
      </c>
      <c r="I27" s="4">
        <f t="shared" si="1"/>
        <v>14.9192372412773</v>
      </c>
      <c r="J27" s="4">
        <f t="shared" si="1"/>
        <v>14.3858660915777</v>
      </c>
      <c r="K27" s="4">
        <f t="shared" si="1"/>
        <v>13.8383493303734</v>
      </c>
      <c r="L27" s="4">
        <f t="shared" si="1"/>
        <v>12.9734825280334</v>
      </c>
      <c r="M27" s="4">
        <f t="shared" si="1"/>
        <v>12.86851458356</v>
      </c>
      <c r="N27" s="4">
        <f t="shared" si="1"/>
        <v>12.15986261638</v>
      </c>
      <c r="O27" s="4">
        <f t="shared" si="1"/>
        <v>11.4250494546954</v>
      </c>
      <c r="P27" s="4">
        <f t="shared" si="1"/>
        <v>10.5563482158401</v>
      </c>
      <c r="Q27" s="4">
        <f t="shared" si="1"/>
        <v>9.15371205348453</v>
      </c>
      <c r="R27" s="4">
        <f t="shared" si="1"/>
        <v>7.26151133350191</v>
      </c>
      <c r="S27" s="4">
        <f t="shared" si="4"/>
        <v>6.65808479585074</v>
      </c>
      <c r="T27" s="4">
        <f t="shared" si="4"/>
        <v>5.3464053641113</v>
      </c>
      <c r="U27" s="4">
        <f t="shared" si="4"/>
        <v>4.02453562232492</v>
      </c>
      <c r="V27" s="4">
        <f t="shared" si="4"/>
        <v>3.75784513848273</v>
      </c>
      <c r="W27" s="4">
        <f t="shared" si="4"/>
        <v>2.95315106373381</v>
      </c>
      <c r="X27" s="4">
        <f t="shared" si="4"/>
        <v>2.54481427618935</v>
      </c>
      <c r="Y27" s="4">
        <f t="shared" si="4"/>
        <v>2.12007554185713</v>
      </c>
      <c r="Z27" s="4">
        <f t="shared" si="4"/>
        <v>2.05370551275842</v>
      </c>
      <c r="AA27" s="4">
        <f t="shared" si="4"/>
        <v>1.85062577118868</v>
      </c>
      <c r="AB27" s="4">
        <f t="shared" si="4"/>
        <v>1.55408620889421</v>
      </c>
      <c r="AC27" s="4">
        <f t="shared" si="4"/>
        <v>1.31121115610661</v>
      </c>
      <c r="AD27" s="4">
        <f t="shared" si="4"/>
        <v>1.27104158151811</v>
      </c>
      <c r="AE27" s="4">
        <f t="shared" si="4"/>
        <v>1.10722529913462</v>
      </c>
      <c r="AF27" s="4">
        <f t="shared" si="4"/>
        <v>0.998295446301295</v>
      </c>
      <c r="AG27" s="4">
        <f t="shared" si="4"/>
        <v>0.916605857761707</v>
      </c>
      <c r="AH27" s="4">
        <f t="shared" si="4"/>
        <v>0.610495964613272</v>
      </c>
      <c r="AI27" s="4">
        <f t="shared" si="3"/>
        <v>0.437760053947643</v>
      </c>
      <c r="AJ27" s="4">
        <f t="shared" si="3"/>
        <v>0.355401965334779</v>
      </c>
    </row>
    <row r="28" spans="1:36">
      <c r="A28" t="str">
        <f>"post-semis_procurement_archetype_"&amp;TEXT(ROUND(Table2691617[[#This Row],[2016]],3),"0.0")</f>
        <v>post-semis_procurement_archetype_17.7</v>
      </c>
      <c r="B28" s="4">
        <f t="shared" si="2"/>
        <v>17.7</v>
      </c>
      <c r="C28" s="4">
        <f t="shared" si="1"/>
        <v>17.7</v>
      </c>
      <c r="D28" s="4">
        <f t="shared" si="1"/>
        <v>17.7</v>
      </c>
      <c r="E28" s="4">
        <f t="shared" si="1"/>
        <v>17.2349390786465</v>
      </c>
      <c r="F28" s="4">
        <f t="shared" si="1"/>
        <v>16.1106271783427</v>
      </c>
      <c r="G28" s="4">
        <f t="shared" si="1"/>
        <v>16.2678087302115</v>
      </c>
      <c r="H28" s="4">
        <f t="shared" si="1"/>
        <v>15.7797898458308</v>
      </c>
      <c r="I28" s="4">
        <f t="shared" si="1"/>
        <v>14.8357510225235</v>
      </c>
      <c r="J28" s="4">
        <f t="shared" si="1"/>
        <v>14.3054373875264</v>
      </c>
      <c r="K28" s="4">
        <f t="shared" ref="K28:Z43" si="5">(($B28-$AJ$2)*((K$2-$AJ$2)/($B$2-$AJ$2)))+$AJ$2</f>
        <v>13.7610592298034</v>
      </c>
      <c r="L28" s="4">
        <f t="shared" si="5"/>
        <v>12.901150218985</v>
      </c>
      <c r="M28" s="4">
        <f t="shared" si="5"/>
        <v>12.7967839962839</v>
      </c>
      <c r="N28" s="4">
        <f t="shared" si="5"/>
        <v>12.0921943294548</v>
      </c>
      <c r="O28" s="4">
        <f t="shared" si="5"/>
        <v>11.3615934354316</v>
      </c>
      <c r="P28" s="4">
        <f t="shared" si="5"/>
        <v>10.4978719687507</v>
      </c>
      <c r="Q28" s="4">
        <f t="shared" si="5"/>
        <v>9.10327632506782</v>
      </c>
      <c r="R28" s="4">
        <f t="shared" si="5"/>
        <v>7.22192252007988</v>
      </c>
      <c r="S28" s="4">
        <f t="shared" si="5"/>
        <v>6.6219550849913</v>
      </c>
      <c r="T28" s="4">
        <f t="shared" si="5"/>
        <v>5.31779476850537</v>
      </c>
      <c r="U28" s="4">
        <f t="shared" si="5"/>
        <v>4.00350255724828</v>
      </c>
      <c r="V28" s="4">
        <f t="shared" si="5"/>
        <v>3.7383408588978</v>
      </c>
      <c r="W28" s="4">
        <f t="shared" si="5"/>
        <v>2.93825963950473</v>
      </c>
      <c r="X28" s="4">
        <f t="shared" si="5"/>
        <v>2.53226361548336</v>
      </c>
      <c r="Y28" s="4">
        <f t="shared" si="5"/>
        <v>2.10995966774518</v>
      </c>
      <c r="Z28" s="4">
        <f t="shared" si="5"/>
        <v>2.04397010043164</v>
      </c>
      <c r="AA28" s="4">
        <f t="shared" si="4"/>
        <v>1.84205449999697</v>
      </c>
      <c r="AB28" s="4">
        <f t="shared" si="4"/>
        <v>1.54721483105463</v>
      </c>
      <c r="AC28" s="4">
        <f t="shared" si="4"/>
        <v>1.30573204338144</v>
      </c>
      <c r="AD28" s="4">
        <f t="shared" si="4"/>
        <v>1.26579273821221</v>
      </c>
      <c r="AE28" s="4">
        <f t="shared" si="4"/>
        <v>1.1029155217909</v>
      </c>
      <c r="AF28" s="4">
        <f t="shared" si="4"/>
        <v>0.994610102106554</v>
      </c>
      <c r="AG28" s="4">
        <f t="shared" si="4"/>
        <v>0.91338879370949</v>
      </c>
      <c r="AH28" s="4">
        <f t="shared" si="4"/>
        <v>0.609033655199368</v>
      </c>
      <c r="AI28" s="4">
        <f t="shared" si="3"/>
        <v>0.437287941672833</v>
      </c>
      <c r="AJ28" s="4">
        <f t="shared" si="3"/>
        <v>0.355401965334779</v>
      </c>
    </row>
    <row r="29" spans="1:36">
      <c r="A29" t="str">
        <f>"post-semis_procurement_archetype_"&amp;TEXT(ROUND(Table2691617[[#This Row],[2016]],3),"0.0")</f>
        <v>post-semis_procurement_archetype_17.6</v>
      </c>
      <c r="B29" s="4">
        <f t="shared" si="2"/>
        <v>17.6</v>
      </c>
      <c r="C29" s="4">
        <f t="shared" ref="C29:R44" si="6">(($B29-$AJ$2)*((C$2-$AJ$2)/($B$2-$AJ$2)))+$AJ$2</f>
        <v>17.6</v>
      </c>
      <c r="D29" s="4">
        <f t="shared" si="6"/>
        <v>17.6</v>
      </c>
      <c r="E29" s="4">
        <f t="shared" si="6"/>
        <v>17.1376203798818</v>
      </c>
      <c r="F29" s="4">
        <f t="shared" si="6"/>
        <v>16.019790681691</v>
      </c>
      <c r="G29" s="4">
        <f t="shared" si="6"/>
        <v>16.1760660058597</v>
      </c>
      <c r="H29" s="4">
        <f t="shared" si="6"/>
        <v>15.6908607864795</v>
      </c>
      <c r="I29" s="4">
        <f t="shared" si="6"/>
        <v>14.7522648037697</v>
      </c>
      <c r="J29" s="4">
        <f t="shared" si="6"/>
        <v>14.2250086834751</v>
      </c>
      <c r="K29" s="4">
        <f t="shared" si="6"/>
        <v>13.6837691292333</v>
      </c>
      <c r="L29" s="4">
        <f t="shared" si="6"/>
        <v>12.8288179099365</v>
      </c>
      <c r="M29" s="4">
        <f t="shared" si="6"/>
        <v>12.7250534090078</v>
      </c>
      <c r="N29" s="4">
        <f t="shared" si="6"/>
        <v>12.0245260425296</v>
      </c>
      <c r="O29" s="4">
        <f t="shared" si="6"/>
        <v>11.2981374161679</v>
      </c>
      <c r="P29" s="4">
        <f t="shared" si="6"/>
        <v>10.4393957216613</v>
      </c>
      <c r="Q29" s="4">
        <f t="shared" si="6"/>
        <v>9.05284059665111</v>
      </c>
      <c r="R29" s="4">
        <f t="shared" si="6"/>
        <v>7.18233370665785</v>
      </c>
      <c r="S29" s="4">
        <f t="shared" si="5"/>
        <v>6.58582537413186</v>
      </c>
      <c r="T29" s="4">
        <f t="shared" si="5"/>
        <v>5.28918417289945</v>
      </c>
      <c r="U29" s="4">
        <f t="shared" si="5"/>
        <v>3.98246949217163</v>
      </c>
      <c r="V29" s="4">
        <f t="shared" si="5"/>
        <v>3.71883657931287</v>
      </c>
      <c r="W29" s="4">
        <f t="shared" si="5"/>
        <v>2.92336821527566</v>
      </c>
      <c r="X29" s="4">
        <f t="shared" si="5"/>
        <v>2.51971295477737</v>
      </c>
      <c r="Y29" s="4">
        <f t="shared" si="5"/>
        <v>2.09984379363323</v>
      </c>
      <c r="Z29" s="4">
        <f t="shared" si="5"/>
        <v>2.03423468810486</v>
      </c>
      <c r="AA29" s="4">
        <f t="shared" si="4"/>
        <v>1.83348322880527</v>
      </c>
      <c r="AB29" s="4">
        <f t="shared" si="4"/>
        <v>1.54034345321504</v>
      </c>
      <c r="AC29" s="4">
        <f t="shared" si="4"/>
        <v>1.30025293065627</v>
      </c>
      <c r="AD29" s="4">
        <f t="shared" si="4"/>
        <v>1.26054389490631</v>
      </c>
      <c r="AE29" s="4">
        <f t="shared" si="4"/>
        <v>1.09860574444719</v>
      </c>
      <c r="AF29" s="4">
        <f t="shared" si="4"/>
        <v>0.990924757911812</v>
      </c>
      <c r="AG29" s="4">
        <f t="shared" si="4"/>
        <v>0.910171729657273</v>
      </c>
      <c r="AH29" s="4">
        <f t="shared" ref="AH29:AJ29" si="7">(($B29-$AJ$2)*((AH$2-$AJ$2)/($B$2-$AJ$2)))+$AJ$2</f>
        <v>0.607571345785465</v>
      </c>
      <c r="AI29" s="4">
        <f t="shared" si="7"/>
        <v>0.436815829398023</v>
      </c>
      <c r="AJ29" s="4">
        <f t="shared" si="7"/>
        <v>0.355401965334779</v>
      </c>
    </row>
    <row r="30" spans="1:36">
      <c r="A30" t="str">
        <f>"post-semis_procurement_archetype_"&amp;TEXT(ROUND(Table2691617[[#This Row],[2016]],3),"0.0")</f>
        <v>post-semis_procurement_archetype_17.5</v>
      </c>
      <c r="B30" s="4">
        <f t="shared" si="2"/>
        <v>17.5</v>
      </c>
      <c r="C30" s="4">
        <f t="shared" si="6"/>
        <v>17.5</v>
      </c>
      <c r="D30" s="4">
        <f t="shared" si="6"/>
        <v>17.5</v>
      </c>
      <c r="E30" s="4">
        <f t="shared" si="6"/>
        <v>17.040301681117</v>
      </c>
      <c r="F30" s="4">
        <f t="shared" si="6"/>
        <v>15.9289541850394</v>
      </c>
      <c r="G30" s="4">
        <f t="shared" si="6"/>
        <v>16.0843232815078</v>
      </c>
      <c r="H30" s="4">
        <f t="shared" si="6"/>
        <v>15.6019317271282</v>
      </c>
      <c r="I30" s="4">
        <f t="shared" si="6"/>
        <v>14.6687785850159</v>
      </c>
      <c r="J30" s="4">
        <f t="shared" si="6"/>
        <v>14.1445799794237</v>
      </c>
      <c r="K30" s="4">
        <f t="shared" si="6"/>
        <v>13.6064790286632</v>
      </c>
      <c r="L30" s="4">
        <f t="shared" si="6"/>
        <v>12.756485600888</v>
      </c>
      <c r="M30" s="4">
        <f t="shared" si="6"/>
        <v>12.6533228217316</v>
      </c>
      <c r="N30" s="4">
        <f t="shared" si="6"/>
        <v>11.9568577556044</v>
      </c>
      <c r="O30" s="4">
        <f t="shared" si="6"/>
        <v>11.2346813969041</v>
      </c>
      <c r="P30" s="4">
        <f t="shared" si="6"/>
        <v>10.3809194745719</v>
      </c>
      <c r="Q30" s="4">
        <f t="shared" si="6"/>
        <v>9.00240486823441</v>
      </c>
      <c r="R30" s="4">
        <f t="shared" si="6"/>
        <v>7.14274489323581</v>
      </c>
      <c r="S30" s="4">
        <f t="shared" si="5"/>
        <v>6.54969566327243</v>
      </c>
      <c r="T30" s="4">
        <f t="shared" si="5"/>
        <v>5.26057357729353</v>
      </c>
      <c r="U30" s="4">
        <f t="shared" si="5"/>
        <v>3.96143642709499</v>
      </c>
      <c r="V30" s="4">
        <f t="shared" si="5"/>
        <v>3.69933229972794</v>
      </c>
      <c r="W30" s="4">
        <f t="shared" si="5"/>
        <v>2.90847679104658</v>
      </c>
      <c r="X30" s="4">
        <f t="shared" si="5"/>
        <v>2.50716229407138</v>
      </c>
      <c r="Y30" s="4">
        <f t="shared" si="5"/>
        <v>2.08972791952128</v>
      </c>
      <c r="Z30" s="4">
        <f t="shared" si="5"/>
        <v>2.02449927577808</v>
      </c>
      <c r="AA30" s="4">
        <f t="shared" ref="AA30:AJ82" si="8">(($B30-$AJ$2)*((AA$2-$AJ$2)/($B$2-$AJ$2)))+$AJ$2</f>
        <v>1.82491195761356</v>
      </c>
      <c r="AB30" s="4">
        <f t="shared" si="8"/>
        <v>1.53347207537545</v>
      </c>
      <c r="AC30" s="4">
        <f t="shared" si="8"/>
        <v>1.2947738179311</v>
      </c>
      <c r="AD30" s="4">
        <f t="shared" si="8"/>
        <v>1.25529505160042</v>
      </c>
      <c r="AE30" s="4">
        <f t="shared" si="8"/>
        <v>1.09429596710348</v>
      </c>
      <c r="AF30" s="4">
        <f t="shared" si="8"/>
        <v>0.987239413717071</v>
      </c>
      <c r="AG30" s="4">
        <f t="shared" si="8"/>
        <v>0.906954665605056</v>
      </c>
      <c r="AH30" s="4">
        <f t="shared" si="8"/>
        <v>0.606109036371562</v>
      </c>
      <c r="AI30" s="4">
        <f t="shared" si="8"/>
        <v>0.436343717123214</v>
      </c>
      <c r="AJ30" s="4">
        <f t="shared" si="8"/>
        <v>0.355401965334779</v>
      </c>
    </row>
    <row r="31" spans="1:36">
      <c r="A31" t="str">
        <f>"post-semis_procurement_archetype_"&amp;TEXT(ROUND(Table2691617[[#This Row],[2016]],3),"0.0")</f>
        <v>post-semis_procurement_archetype_17.4</v>
      </c>
      <c r="B31" s="4">
        <f t="shared" si="2"/>
        <v>17.4</v>
      </c>
      <c r="C31" s="4">
        <f t="shared" si="6"/>
        <v>17.4</v>
      </c>
      <c r="D31" s="4">
        <f t="shared" si="6"/>
        <v>17.4</v>
      </c>
      <c r="E31" s="4">
        <f t="shared" si="6"/>
        <v>16.9429829823523</v>
      </c>
      <c r="F31" s="4">
        <f t="shared" si="6"/>
        <v>15.8381176883877</v>
      </c>
      <c r="G31" s="4">
        <f t="shared" si="6"/>
        <v>15.992580557156</v>
      </c>
      <c r="H31" s="4">
        <f t="shared" si="6"/>
        <v>15.5130026677768</v>
      </c>
      <c r="I31" s="4">
        <f t="shared" si="6"/>
        <v>14.5852923662621</v>
      </c>
      <c r="J31" s="4">
        <f t="shared" si="6"/>
        <v>14.0641512753724</v>
      </c>
      <c r="K31" s="4">
        <f t="shared" si="6"/>
        <v>13.5291889280931</v>
      </c>
      <c r="L31" s="4">
        <f t="shared" si="6"/>
        <v>12.6841532918395</v>
      </c>
      <c r="M31" s="4">
        <f t="shared" si="6"/>
        <v>12.5815922344555</v>
      </c>
      <c r="N31" s="4">
        <f t="shared" si="6"/>
        <v>11.8891894686792</v>
      </c>
      <c r="O31" s="4">
        <f t="shared" si="6"/>
        <v>11.1712253776404</v>
      </c>
      <c r="P31" s="4">
        <f t="shared" si="6"/>
        <v>10.3224432274825</v>
      </c>
      <c r="Q31" s="4">
        <f t="shared" si="6"/>
        <v>8.9519691398177</v>
      </c>
      <c r="R31" s="4">
        <f t="shared" si="6"/>
        <v>7.10315607981378</v>
      </c>
      <c r="S31" s="4">
        <f t="shared" si="5"/>
        <v>6.51356595241299</v>
      </c>
      <c r="T31" s="4">
        <f t="shared" si="5"/>
        <v>5.23196298168761</v>
      </c>
      <c r="U31" s="4">
        <f t="shared" si="5"/>
        <v>3.94040336201834</v>
      </c>
      <c r="V31" s="4">
        <f t="shared" si="5"/>
        <v>3.67982802014301</v>
      </c>
      <c r="W31" s="4">
        <f t="shared" si="5"/>
        <v>2.8935853668175</v>
      </c>
      <c r="X31" s="4">
        <f t="shared" si="5"/>
        <v>2.49461163336539</v>
      </c>
      <c r="Y31" s="4">
        <f t="shared" si="5"/>
        <v>2.07961204540933</v>
      </c>
      <c r="Z31" s="4">
        <f t="shared" si="5"/>
        <v>2.01476386345131</v>
      </c>
      <c r="AA31" s="4">
        <f t="shared" si="8"/>
        <v>1.81634068642186</v>
      </c>
      <c r="AB31" s="4">
        <f t="shared" si="8"/>
        <v>1.52660069753586</v>
      </c>
      <c r="AC31" s="4">
        <f t="shared" si="8"/>
        <v>1.28929470520593</v>
      </c>
      <c r="AD31" s="4">
        <f t="shared" si="8"/>
        <v>1.25004620829452</v>
      </c>
      <c r="AE31" s="4">
        <f t="shared" si="8"/>
        <v>1.08998618975976</v>
      </c>
      <c r="AF31" s="4">
        <f t="shared" si="8"/>
        <v>0.983554069522329</v>
      </c>
      <c r="AG31" s="4">
        <f t="shared" si="8"/>
        <v>0.90373760155284</v>
      </c>
      <c r="AH31" s="4">
        <f t="shared" si="8"/>
        <v>0.604646726957659</v>
      </c>
      <c r="AI31" s="4">
        <f t="shared" si="8"/>
        <v>0.435871604848404</v>
      </c>
      <c r="AJ31" s="4">
        <f t="shared" si="8"/>
        <v>0.355401965334779</v>
      </c>
    </row>
    <row r="32" spans="1:36">
      <c r="A32" t="str">
        <f>"post-semis_procurement_archetype_"&amp;TEXT(ROUND(Table2691617[[#This Row],[2016]],3),"0.0")</f>
        <v>post-semis_procurement_archetype_17.3</v>
      </c>
      <c r="B32" s="4">
        <f t="shared" si="2"/>
        <v>17.3</v>
      </c>
      <c r="C32" s="4">
        <f t="shared" si="6"/>
        <v>17.3</v>
      </c>
      <c r="D32" s="4">
        <f t="shared" si="6"/>
        <v>17.3</v>
      </c>
      <c r="E32" s="4">
        <f t="shared" si="6"/>
        <v>16.8456642835875</v>
      </c>
      <c r="F32" s="4">
        <f t="shared" si="6"/>
        <v>15.747281191736</v>
      </c>
      <c r="G32" s="4">
        <f t="shared" si="6"/>
        <v>15.9008378328041</v>
      </c>
      <c r="H32" s="4">
        <f t="shared" si="6"/>
        <v>15.4240736084255</v>
      </c>
      <c r="I32" s="4">
        <f t="shared" si="6"/>
        <v>14.5018061475083</v>
      </c>
      <c r="J32" s="4">
        <f t="shared" si="6"/>
        <v>13.9837225713211</v>
      </c>
      <c r="K32" s="4">
        <f t="shared" si="6"/>
        <v>13.451898827523</v>
      </c>
      <c r="L32" s="4">
        <f t="shared" si="6"/>
        <v>12.6118209827911</v>
      </c>
      <c r="M32" s="4">
        <f t="shared" si="6"/>
        <v>12.5098616471794</v>
      </c>
      <c r="N32" s="4">
        <f t="shared" si="6"/>
        <v>11.821521181754</v>
      </c>
      <c r="O32" s="4">
        <f t="shared" si="6"/>
        <v>11.1077693583766</v>
      </c>
      <c r="P32" s="4">
        <f t="shared" si="6"/>
        <v>10.263966980393</v>
      </c>
      <c r="Q32" s="4">
        <f t="shared" si="6"/>
        <v>8.901533411401</v>
      </c>
      <c r="R32" s="4">
        <f t="shared" si="6"/>
        <v>7.06356726639175</v>
      </c>
      <c r="S32" s="4">
        <f t="shared" si="5"/>
        <v>6.47743624155355</v>
      </c>
      <c r="T32" s="4">
        <f t="shared" si="5"/>
        <v>5.20335238608169</v>
      </c>
      <c r="U32" s="4">
        <f t="shared" si="5"/>
        <v>3.9193702969417</v>
      </c>
      <c r="V32" s="4">
        <f t="shared" si="5"/>
        <v>3.66032374055809</v>
      </c>
      <c r="W32" s="4">
        <f t="shared" si="5"/>
        <v>2.87869394258843</v>
      </c>
      <c r="X32" s="4">
        <f t="shared" si="5"/>
        <v>2.4820609726594</v>
      </c>
      <c r="Y32" s="4">
        <f t="shared" si="5"/>
        <v>2.06949617129739</v>
      </c>
      <c r="Z32" s="4">
        <f t="shared" si="5"/>
        <v>2.00502845112453</v>
      </c>
      <c r="AA32" s="4">
        <f t="shared" si="8"/>
        <v>1.80776941523015</v>
      </c>
      <c r="AB32" s="4">
        <f t="shared" si="8"/>
        <v>1.51972931969627</v>
      </c>
      <c r="AC32" s="4">
        <f t="shared" si="8"/>
        <v>1.28381559248076</v>
      </c>
      <c r="AD32" s="4">
        <f t="shared" si="8"/>
        <v>1.24479736498862</v>
      </c>
      <c r="AE32" s="4">
        <f t="shared" si="8"/>
        <v>1.08567641241605</v>
      </c>
      <c r="AF32" s="4">
        <f t="shared" si="8"/>
        <v>0.979868725327588</v>
      </c>
      <c r="AG32" s="4">
        <f t="shared" si="8"/>
        <v>0.900520537500623</v>
      </c>
      <c r="AH32" s="4">
        <f t="shared" si="8"/>
        <v>0.603184417543756</v>
      </c>
      <c r="AI32" s="4">
        <f t="shared" si="8"/>
        <v>0.435399492573594</v>
      </c>
      <c r="AJ32" s="4">
        <f t="shared" si="8"/>
        <v>0.355401965334779</v>
      </c>
    </row>
    <row r="33" spans="1:36">
      <c r="A33" t="str">
        <f>"post-semis_procurement_archetype_"&amp;TEXT(ROUND(Table2691617[[#This Row],[2016]],3),"0.0")</f>
        <v>post-semis_procurement_archetype_17.2</v>
      </c>
      <c r="B33" s="4">
        <f t="shared" si="2"/>
        <v>17.2</v>
      </c>
      <c r="C33" s="4">
        <f t="shared" si="6"/>
        <v>17.2</v>
      </c>
      <c r="D33" s="4">
        <f t="shared" si="6"/>
        <v>17.2</v>
      </c>
      <c r="E33" s="4">
        <f t="shared" si="6"/>
        <v>16.7483455848228</v>
      </c>
      <c r="F33" s="4">
        <f t="shared" si="6"/>
        <v>15.6564446950843</v>
      </c>
      <c r="G33" s="4">
        <f t="shared" si="6"/>
        <v>15.8090951084523</v>
      </c>
      <c r="H33" s="4">
        <f t="shared" si="6"/>
        <v>15.3351445490742</v>
      </c>
      <c r="I33" s="4">
        <f t="shared" si="6"/>
        <v>14.4183199287545</v>
      </c>
      <c r="J33" s="4">
        <f t="shared" si="6"/>
        <v>13.9032938672698</v>
      </c>
      <c r="K33" s="4">
        <f t="shared" si="6"/>
        <v>13.374608726953</v>
      </c>
      <c r="L33" s="4">
        <f t="shared" si="6"/>
        <v>12.5394886737426</v>
      </c>
      <c r="M33" s="4">
        <f t="shared" si="6"/>
        <v>12.4381310599033</v>
      </c>
      <c r="N33" s="4">
        <f t="shared" si="6"/>
        <v>11.7538528948288</v>
      </c>
      <c r="O33" s="4">
        <f t="shared" si="6"/>
        <v>11.0443133391129</v>
      </c>
      <c r="P33" s="4">
        <f t="shared" si="6"/>
        <v>10.2054907333036</v>
      </c>
      <c r="Q33" s="4">
        <f t="shared" si="6"/>
        <v>8.85109768298429</v>
      </c>
      <c r="R33" s="4">
        <f t="shared" si="6"/>
        <v>7.02397845296972</v>
      </c>
      <c r="S33" s="4">
        <f t="shared" si="5"/>
        <v>6.44130653069411</v>
      </c>
      <c r="T33" s="4">
        <f t="shared" si="5"/>
        <v>5.17474179047577</v>
      </c>
      <c r="U33" s="4">
        <f t="shared" si="5"/>
        <v>3.89833723186506</v>
      </c>
      <c r="V33" s="4">
        <f t="shared" si="5"/>
        <v>3.64081946097316</v>
      </c>
      <c r="W33" s="4">
        <f t="shared" si="5"/>
        <v>2.86380251835935</v>
      </c>
      <c r="X33" s="4">
        <f t="shared" si="5"/>
        <v>2.46951031195341</v>
      </c>
      <c r="Y33" s="4">
        <f t="shared" si="5"/>
        <v>2.05938029718544</v>
      </c>
      <c r="Z33" s="4">
        <f t="shared" si="5"/>
        <v>1.99529303879775</v>
      </c>
      <c r="AA33" s="4">
        <f t="shared" si="8"/>
        <v>1.79919814403845</v>
      </c>
      <c r="AB33" s="4">
        <f t="shared" si="8"/>
        <v>1.51285794185668</v>
      </c>
      <c r="AC33" s="4">
        <f t="shared" si="8"/>
        <v>1.2783364797556</v>
      </c>
      <c r="AD33" s="4">
        <f t="shared" si="8"/>
        <v>1.23954852168272</v>
      </c>
      <c r="AE33" s="4">
        <f t="shared" si="8"/>
        <v>1.08136663507234</v>
      </c>
      <c r="AF33" s="4">
        <f t="shared" si="8"/>
        <v>0.976183381132847</v>
      </c>
      <c r="AG33" s="4">
        <f t="shared" si="8"/>
        <v>0.897303473448406</v>
      </c>
      <c r="AH33" s="4">
        <f t="shared" si="8"/>
        <v>0.601722108129852</v>
      </c>
      <c r="AI33" s="4">
        <f t="shared" si="8"/>
        <v>0.434927380298785</v>
      </c>
      <c r="AJ33" s="4">
        <f t="shared" si="8"/>
        <v>0.355401965334779</v>
      </c>
    </row>
    <row r="34" spans="1:36">
      <c r="A34" t="str">
        <f>"post-semis_procurement_archetype_"&amp;TEXT(ROUND(Table2691617[[#This Row],[2016]],3),"0.0")</f>
        <v>post-semis_procurement_archetype_17.1</v>
      </c>
      <c r="B34" s="4">
        <f t="shared" si="2"/>
        <v>17.1</v>
      </c>
      <c r="C34" s="4">
        <f t="shared" si="6"/>
        <v>17.1</v>
      </c>
      <c r="D34" s="4">
        <f t="shared" si="6"/>
        <v>17.1</v>
      </c>
      <c r="E34" s="4">
        <f t="shared" si="6"/>
        <v>16.651026886058</v>
      </c>
      <c r="F34" s="4">
        <f t="shared" si="6"/>
        <v>15.5656081984326</v>
      </c>
      <c r="G34" s="4">
        <f t="shared" si="6"/>
        <v>15.7173523841005</v>
      </c>
      <c r="H34" s="4">
        <f t="shared" si="6"/>
        <v>15.2462154897229</v>
      </c>
      <c r="I34" s="4">
        <f t="shared" si="6"/>
        <v>14.3348337100007</v>
      </c>
      <c r="J34" s="4">
        <f t="shared" si="6"/>
        <v>13.8228651632185</v>
      </c>
      <c r="K34" s="4">
        <f t="shared" si="6"/>
        <v>13.2973186263829</v>
      </c>
      <c r="L34" s="4">
        <f t="shared" si="6"/>
        <v>12.4671563646941</v>
      </c>
      <c r="M34" s="4">
        <f t="shared" si="6"/>
        <v>12.3664004726271</v>
      </c>
      <c r="N34" s="4">
        <f t="shared" si="6"/>
        <v>11.6861846079036</v>
      </c>
      <c r="O34" s="4">
        <f t="shared" si="6"/>
        <v>10.9808573198491</v>
      </c>
      <c r="P34" s="4">
        <f t="shared" si="6"/>
        <v>10.1470144862142</v>
      </c>
      <c r="Q34" s="4">
        <f t="shared" si="6"/>
        <v>8.80066195456759</v>
      </c>
      <c r="R34" s="4">
        <f t="shared" si="6"/>
        <v>6.98438963954769</v>
      </c>
      <c r="S34" s="4">
        <f t="shared" si="5"/>
        <v>6.40517681983467</v>
      </c>
      <c r="T34" s="4">
        <f t="shared" si="5"/>
        <v>5.14613119486985</v>
      </c>
      <c r="U34" s="4">
        <f t="shared" si="5"/>
        <v>3.87730416678841</v>
      </c>
      <c r="V34" s="4">
        <f t="shared" si="5"/>
        <v>3.62131518138823</v>
      </c>
      <c r="W34" s="4">
        <f t="shared" si="5"/>
        <v>2.84891109413028</v>
      </c>
      <c r="X34" s="4">
        <f t="shared" si="5"/>
        <v>2.45695965124742</v>
      </c>
      <c r="Y34" s="4">
        <f t="shared" si="5"/>
        <v>2.04926442307349</v>
      </c>
      <c r="Z34" s="4">
        <f t="shared" si="5"/>
        <v>1.98555762647097</v>
      </c>
      <c r="AA34" s="4">
        <f t="shared" si="8"/>
        <v>1.79062687284675</v>
      </c>
      <c r="AB34" s="4">
        <f t="shared" si="8"/>
        <v>1.50598656401709</v>
      </c>
      <c r="AC34" s="4">
        <f t="shared" si="8"/>
        <v>1.27285736703043</v>
      </c>
      <c r="AD34" s="4">
        <f t="shared" si="8"/>
        <v>1.23429967837682</v>
      </c>
      <c r="AE34" s="4">
        <f t="shared" si="8"/>
        <v>1.07705685772862</v>
      </c>
      <c r="AF34" s="4">
        <f t="shared" si="8"/>
        <v>0.972498036938105</v>
      </c>
      <c r="AG34" s="4">
        <f t="shared" si="8"/>
        <v>0.894086409396189</v>
      </c>
      <c r="AH34" s="4">
        <f t="shared" si="8"/>
        <v>0.600259798715949</v>
      </c>
      <c r="AI34" s="4">
        <f t="shared" si="8"/>
        <v>0.434455268023975</v>
      </c>
      <c r="AJ34" s="4">
        <f t="shared" si="8"/>
        <v>0.355401965334779</v>
      </c>
    </row>
    <row r="35" spans="1:36">
      <c r="A35" t="str">
        <f>"post-semis_procurement_archetype_"&amp;TEXT(ROUND(Table2691617[[#This Row],[2016]],3),"0.0")</f>
        <v>post-semis_procurement_archetype_17.0</v>
      </c>
      <c r="B35" s="4">
        <f t="shared" si="2"/>
        <v>17</v>
      </c>
      <c r="C35" s="4">
        <f t="shared" si="6"/>
        <v>17</v>
      </c>
      <c r="D35" s="4">
        <f t="shared" si="6"/>
        <v>17</v>
      </c>
      <c r="E35" s="4">
        <f t="shared" si="6"/>
        <v>16.5537081872933</v>
      </c>
      <c r="F35" s="4">
        <f t="shared" si="6"/>
        <v>15.4747717017809</v>
      </c>
      <c r="G35" s="4">
        <f t="shared" si="6"/>
        <v>15.6256096597486</v>
      </c>
      <c r="H35" s="4">
        <f t="shared" si="6"/>
        <v>15.1572864303715</v>
      </c>
      <c r="I35" s="4">
        <f t="shared" si="6"/>
        <v>14.2513474912469</v>
      </c>
      <c r="J35" s="4">
        <f t="shared" si="6"/>
        <v>13.7424364591671</v>
      </c>
      <c r="K35" s="4">
        <f t="shared" si="6"/>
        <v>13.2200285258128</v>
      </c>
      <c r="L35" s="4">
        <f t="shared" si="6"/>
        <v>12.3948240556456</v>
      </c>
      <c r="M35" s="4">
        <f t="shared" si="6"/>
        <v>12.294669885351</v>
      </c>
      <c r="N35" s="4">
        <f t="shared" si="6"/>
        <v>11.6185163209784</v>
      </c>
      <c r="O35" s="4">
        <f t="shared" si="6"/>
        <v>10.9174013005854</v>
      </c>
      <c r="P35" s="4">
        <f t="shared" si="6"/>
        <v>10.0885382391248</v>
      </c>
      <c r="Q35" s="4">
        <f t="shared" si="6"/>
        <v>8.75022622615088</v>
      </c>
      <c r="R35" s="4">
        <f t="shared" si="6"/>
        <v>6.94480082612565</v>
      </c>
      <c r="S35" s="4">
        <f t="shared" si="5"/>
        <v>6.36904710897523</v>
      </c>
      <c r="T35" s="4">
        <f t="shared" si="5"/>
        <v>5.11752059926393</v>
      </c>
      <c r="U35" s="4">
        <f t="shared" si="5"/>
        <v>3.85627110171177</v>
      </c>
      <c r="V35" s="4">
        <f t="shared" si="5"/>
        <v>3.6018109018033</v>
      </c>
      <c r="W35" s="4">
        <f t="shared" si="5"/>
        <v>2.8340196699012</v>
      </c>
      <c r="X35" s="4">
        <f t="shared" si="5"/>
        <v>2.44440899054143</v>
      </c>
      <c r="Y35" s="4">
        <f t="shared" si="5"/>
        <v>2.03914854896154</v>
      </c>
      <c r="Z35" s="4">
        <f t="shared" si="5"/>
        <v>1.97582221414419</v>
      </c>
      <c r="AA35" s="4">
        <f t="shared" si="8"/>
        <v>1.78205560165504</v>
      </c>
      <c r="AB35" s="4">
        <f t="shared" si="8"/>
        <v>1.4991151861775</v>
      </c>
      <c r="AC35" s="4">
        <f t="shared" si="8"/>
        <v>1.26737825430526</v>
      </c>
      <c r="AD35" s="4">
        <f t="shared" si="8"/>
        <v>1.22905083507093</v>
      </c>
      <c r="AE35" s="4">
        <f t="shared" si="8"/>
        <v>1.07274708038491</v>
      </c>
      <c r="AF35" s="4">
        <f t="shared" si="8"/>
        <v>0.968812692743364</v>
      </c>
      <c r="AG35" s="4">
        <f t="shared" si="8"/>
        <v>0.890869345343972</v>
      </c>
      <c r="AH35" s="4">
        <f t="shared" si="8"/>
        <v>0.598797489302046</v>
      </c>
      <c r="AI35" s="4">
        <f t="shared" si="8"/>
        <v>0.433983155749165</v>
      </c>
      <c r="AJ35" s="4">
        <f t="shared" si="8"/>
        <v>0.355401965334779</v>
      </c>
    </row>
    <row r="36" spans="1:36">
      <c r="A36" t="str">
        <f>"post-semis_procurement_archetype_"&amp;TEXT(ROUND(Table2691617[[#This Row],[2016]],3),"0.0")</f>
        <v>post-semis_procurement_archetype_16.9</v>
      </c>
      <c r="B36" s="4">
        <f t="shared" si="2"/>
        <v>16.9</v>
      </c>
      <c r="C36" s="4">
        <f t="shared" si="6"/>
        <v>16.9</v>
      </c>
      <c r="D36" s="4">
        <f t="shared" si="6"/>
        <v>16.9</v>
      </c>
      <c r="E36" s="4">
        <f t="shared" si="6"/>
        <v>16.4563894885285</v>
      </c>
      <c r="F36" s="4">
        <f t="shared" si="6"/>
        <v>15.3839352051292</v>
      </c>
      <c r="G36" s="4">
        <f t="shared" si="6"/>
        <v>15.5338669353968</v>
      </c>
      <c r="H36" s="4">
        <f t="shared" si="6"/>
        <v>15.0683573710202</v>
      </c>
      <c r="I36" s="4">
        <f t="shared" si="6"/>
        <v>14.1678612724931</v>
      </c>
      <c r="J36" s="4">
        <f t="shared" si="6"/>
        <v>13.6620077551158</v>
      </c>
      <c r="K36" s="4">
        <f t="shared" si="6"/>
        <v>13.1427384252427</v>
      </c>
      <c r="L36" s="4">
        <f t="shared" si="6"/>
        <v>12.3224917465971</v>
      </c>
      <c r="M36" s="4">
        <f t="shared" si="6"/>
        <v>12.2229392980749</v>
      </c>
      <c r="N36" s="4">
        <f t="shared" si="6"/>
        <v>11.5508480340532</v>
      </c>
      <c r="O36" s="4">
        <f t="shared" si="6"/>
        <v>10.8539452813216</v>
      </c>
      <c r="P36" s="4">
        <f t="shared" si="6"/>
        <v>10.0300619920354</v>
      </c>
      <c r="Q36" s="4">
        <f t="shared" si="6"/>
        <v>8.69979049773417</v>
      </c>
      <c r="R36" s="4">
        <f t="shared" si="6"/>
        <v>6.90521201270362</v>
      </c>
      <c r="S36" s="4">
        <f t="shared" si="5"/>
        <v>6.33291739811579</v>
      </c>
      <c r="T36" s="4">
        <f t="shared" si="5"/>
        <v>5.08891000365801</v>
      </c>
      <c r="U36" s="4">
        <f t="shared" si="5"/>
        <v>3.83523803663512</v>
      </c>
      <c r="V36" s="4">
        <f t="shared" si="5"/>
        <v>3.58230662221837</v>
      </c>
      <c r="W36" s="4">
        <f t="shared" si="5"/>
        <v>2.81912824567213</v>
      </c>
      <c r="X36" s="4">
        <f t="shared" si="5"/>
        <v>2.43185832983544</v>
      </c>
      <c r="Y36" s="4">
        <f t="shared" si="5"/>
        <v>2.02903267484959</v>
      </c>
      <c r="Z36" s="4">
        <f t="shared" si="5"/>
        <v>1.96608680181742</v>
      </c>
      <c r="AA36" s="4">
        <f t="shared" si="8"/>
        <v>1.77348433046334</v>
      </c>
      <c r="AB36" s="4">
        <f t="shared" si="8"/>
        <v>1.49224380833791</v>
      </c>
      <c r="AC36" s="4">
        <f t="shared" si="8"/>
        <v>1.26189914158009</v>
      </c>
      <c r="AD36" s="4">
        <f t="shared" si="8"/>
        <v>1.22380199176503</v>
      </c>
      <c r="AE36" s="4">
        <f t="shared" si="8"/>
        <v>1.0684373030412</v>
      </c>
      <c r="AF36" s="4">
        <f t="shared" si="8"/>
        <v>0.965127348548622</v>
      </c>
      <c r="AG36" s="4">
        <f t="shared" si="8"/>
        <v>0.887652281291756</v>
      </c>
      <c r="AH36" s="4">
        <f t="shared" si="8"/>
        <v>0.597335179888143</v>
      </c>
      <c r="AI36" s="4">
        <f t="shared" si="8"/>
        <v>0.433511043474356</v>
      </c>
      <c r="AJ36" s="4">
        <f t="shared" si="8"/>
        <v>0.355401965334779</v>
      </c>
    </row>
    <row r="37" spans="1:36">
      <c r="A37" t="str">
        <f>"post-semis_procurement_archetype_"&amp;TEXT(ROUND(Table2691617[[#This Row],[2016]],3),"0.0")</f>
        <v>post-semis_procurement_archetype_16.8</v>
      </c>
      <c r="B37" s="4">
        <f t="shared" si="2"/>
        <v>16.8</v>
      </c>
      <c r="C37" s="4">
        <f t="shared" si="6"/>
        <v>16.8</v>
      </c>
      <c r="D37" s="4">
        <f t="shared" si="6"/>
        <v>16.8</v>
      </c>
      <c r="E37" s="4">
        <f t="shared" si="6"/>
        <v>16.3590707897638</v>
      </c>
      <c r="F37" s="4">
        <f t="shared" si="6"/>
        <v>15.2930987084775</v>
      </c>
      <c r="G37" s="4">
        <f t="shared" si="6"/>
        <v>15.442124211045</v>
      </c>
      <c r="H37" s="4">
        <f t="shared" si="6"/>
        <v>14.9794283116689</v>
      </c>
      <c r="I37" s="4">
        <f t="shared" si="6"/>
        <v>14.0843750537393</v>
      </c>
      <c r="J37" s="4">
        <f t="shared" si="6"/>
        <v>13.5815790510645</v>
      </c>
      <c r="K37" s="4">
        <f t="shared" si="6"/>
        <v>13.0654483246727</v>
      </c>
      <c r="L37" s="4">
        <f t="shared" si="6"/>
        <v>12.2501594375487</v>
      </c>
      <c r="M37" s="4">
        <f t="shared" si="6"/>
        <v>12.1512087107987</v>
      </c>
      <c r="N37" s="4">
        <f t="shared" si="6"/>
        <v>11.483179747128</v>
      </c>
      <c r="O37" s="4">
        <f t="shared" si="6"/>
        <v>10.7904892620579</v>
      </c>
      <c r="P37" s="4">
        <f t="shared" si="6"/>
        <v>9.97158574494599</v>
      </c>
      <c r="Q37" s="4">
        <f t="shared" si="6"/>
        <v>8.64935476931747</v>
      </c>
      <c r="R37" s="4">
        <f t="shared" si="6"/>
        <v>6.86562319928159</v>
      </c>
      <c r="S37" s="4">
        <f t="shared" si="5"/>
        <v>6.29678768725635</v>
      </c>
      <c r="T37" s="4">
        <f t="shared" si="5"/>
        <v>5.06029940805209</v>
      </c>
      <c r="U37" s="4">
        <f t="shared" si="5"/>
        <v>3.81420497155848</v>
      </c>
      <c r="V37" s="4">
        <f t="shared" si="5"/>
        <v>3.56280234263345</v>
      </c>
      <c r="W37" s="4">
        <f t="shared" si="5"/>
        <v>2.80423682144305</v>
      </c>
      <c r="X37" s="4">
        <f t="shared" si="5"/>
        <v>2.41930766912945</v>
      </c>
      <c r="Y37" s="4">
        <f t="shared" si="5"/>
        <v>2.01891680073764</v>
      </c>
      <c r="Z37" s="4">
        <f t="shared" si="5"/>
        <v>1.95635138949064</v>
      </c>
      <c r="AA37" s="4">
        <f t="shared" si="8"/>
        <v>1.76491305927163</v>
      </c>
      <c r="AB37" s="4">
        <f t="shared" si="8"/>
        <v>1.48537243049832</v>
      </c>
      <c r="AC37" s="4">
        <f t="shared" si="8"/>
        <v>1.25642002885492</v>
      </c>
      <c r="AD37" s="4">
        <f t="shared" si="8"/>
        <v>1.21855314845913</v>
      </c>
      <c r="AE37" s="4">
        <f t="shared" si="8"/>
        <v>1.06412752569749</v>
      </c>
      <c r="AF37" s="4">
        <f t="shared" si="8"/>
        <v>0.961442004353881</v>
      </c>
      <c r="AG37" s="4">
        <f t="shared" si="8"/>
        <v>0.884435217239539</v>
      </c>
      <c r="AH37" s="4">
        <f t="shared" si="8"/>
        <v>0.595872870474239</v>
      </c>
      <c r="AI37" s="4">
        <f t="shared" si="8"/>
        <v>0.433038931199546</v>
      </c>
      <c r="AJ37" s="4">
        <f t="shared" si="8"/>
        <v>0.355401965334779</v>
      </c>
    </row>
    <row r="38" spans="1:36">
      <c r="A38" t="str">
        <f>"post-semis_procurement_archetype_"&amp;TEXT(ROUND(Table2691617[[#This Row],[2016]],3),"0.0")</f>
        <v>post-semis_procurement_archetype_16.7</v>
      </c>
      <c r="B38" s="4">
        <f t="shared" si="2"/>
        <v>16.7</v>
      </c>
      <c r="C38" s="4">
        <f t="shared" si="6"/>
        <v>16.7</v>
      </c>
      <c r="D38" s="4">
        <f t="shared" si="6"/>
        <v>16.7</v>
      </c>
      <c r="E38" s="4">
        <f t="shared" si="6"/>
        <v>16.2617520909991</v>
      </c>
      <c r="F38" s="4">
        <f t="shared" si="6"/>
        <v>15.2022622118258</v>
      </c>
      <c r="G38" s="4">
        <f t="shared" si="6"/>
        <v>15.3503814866931</v>
      </c>
      <c r="H38" s="4">
        <f t="shared" si="6"/>
        <v>14.8904992523176</v>
      </c>
      <c r="I38" s="4">
        <f t="shared" si="6"/>
        <v>14.0008888349855</v>
      </c>
      <c r="J38" s="4">
        <f t="shared" si="6"/>
        <v>13.5011503470132</v>
      </c>
      <c r="K38" s="4">
        <f t="shared" si="6"/>
        <v>12.9881582241026</v>
      </c>
      <c r="L38" s="4">
        <f t="shared" si="6"/>
        <v>12.1778271285002</v>
      </c>
      <c r="M38" s="4">
        <f t="shared" si="6"/>
        <v>12.0794781235226</v>
      </c>
      <c r="N38" s="4">
        <f t="shared" si="6"/>
        <v>11.4155114602028</v>
      </c>
      <c r="O38" s="4">
        <f t="shared" si="6"/>
        <v>10.7270332427942</v>
      </c>
      <c r="P38" s="4">
        <f t="shared" si="6"/>
        <v>9.91310949785658</v>
      </c>
      <c r="Q38" s="4">
        <f t="shared" si="6"/>
        <v>8.59891904090076</v>
      </c>
      <c r="R38" s="4">
        <f t="shared" si="6"/>
        <v>6.82603438585955</v>
      </c>
      <c r="S38" s="4">
        <f t="shared" si="5"/>
        <v>6.26065797639691</v>
      </c>
      <c r="T38" s="4">
        <f t="shared" si="5"/>
        <v>5.03168881244616</v>
      </c>
      <c r="U38" s="4">
        <f t="shared" si="5"/>
        <v>3.79317190648183</v>
      </c>
      <c r="V38" s="4">
        <f t="shared" si="5"/>
        <v>3.54329806304852</v>
      </c>
      <c r="W38" s="4">
        <f t="shared" si="5"/>
        <v>2.78934539721397</v>
      </c>
      <c r="X38" s="4">
        <f t="shared" si="5"/>
        <v>2.40675700842346</v>
      </c>
      <c r="Y38" s="4">
        <f t="shared" si="5"/>
        <v>2.00880092662569</v>
      </c>
      <c r="Z38" s="4">
        <f t="shared" si="5"/>
        <v>1.94661597716386</v>
      </c>
      <c r="AA38" s="4">
        <f t="shared" si="8"/>
        <v>1.75634178807993</v>
      </c>
      <c r="AB38" s="4">
        <f t="shared" si="8"/>
        <v>1.47850105265873</v>
      </c>
      <c r="AC38" s="4">
        <f t="shared" si="8"/>
        <v>1.25094091612975</v>
      </c>
      <c r="AD38" s="4">
        <f t="shared" si="8"/>
        <v>1.21330430515323</v>
      </c>
      <c r="AE38" s="4">
        <f t="shared" si="8"/>
        <v>1.05981774835377</v>
      </c>
      <c r="AF38" s="4">
        <f t="shared" si="8"/>
        <v>0.957756660159139</v>
      </c>
      <c r="AG38" s="4">
        <f t="shared" si="8"/>
        <v>0.881218153187322</v>
      </c>
      <c r="AH38" s="4">
        <f t="shared" si="8"/>
        <v>0.594410561060336</v>
      </c>
      <c r="AI38" s="4">
        <f t="shared" si="8"/>
        <v>0.432566818924736</v>
      </c>
      <c r="AJ38" s="4">
        <f t="shared" si="8"/>
        <v>0.355401965334779</v>
      </c>
    </row>
    <row r="39" spans="1:36">
      <c r="A39" t="str">
        <f>"post-semis_procurement_archetype_"&amp;TEXT(ROUND(Table2691617[[#This Row],[2016]],3),"0.0")</f>
        <v>post-semis_procurement_archetype_16.6</v>
      </c>
      <c r="B39" s="4">
        <f t="shared" si="2"/>
        <v>16.6</v>
      </c>
      <c r="C39" s="4">
        <f t="shared" si="6"/>
        <v>16.6</v>
      </c>
      <c r="D39" s="4">
        <f t="shared" si="6"/>
        <v>16.6</v>
      </c>
      <c r="E39" s="4">
        <f t="shared" si="6"/>
        <v>16.1644333922343</v>
      </c>
      <c r="F39" s="4">
        <f t="shared" si="6"/>
        <v>15.1114257151741</v>
      </c>
      <c r="G39" s="4">
        <f t="shared" si="6"/>
        <v>15.2586387623413</v>
      </c>
      <c r="H39" s="4">
        <f t="shared" si="6"/>
        <v>14.8015701929663</v>
      </c>
      <c r="I39" s="4">
        <f t="shared" si="6"/>
        <v>13.9174026162317</v>
      </c>
      <c r="J39" s="4">
        <f t="shared" si="6"/>
        <v>13.4207216429619</v>
      </c>
      <c r="K39" s="4">
        <f t="shared" si="6"/>
        <v>12.9108681235325</v>
      </c>
      <c r="L39" s="4">
        <f t="shared" si="6"/>
        <v>12.1054948194517</v>
      </c>
      <c r="M39" s="4">
        <f t="shared" si="6"/>
        <v>12.0077475362465</v>
      </c>
      <c r="N39" s="4">
        <f t="shared" si="6"/>
        <v>11.3478431732776</v>
      </c>
      <c r="O39" s="4">
        <f t="shared" si="6"/>
        <v>10.6635772235304</v>
      </c>
      <c r="P39" s="4">
        <f t="shared" si="6"/>
        <v>9.85463325076717</v>
      </c>
      <c r="Q39" s="4">
        <f t="shared" si="6"/>
        <v>8.54848331248406</v>
      </c>
      <c r="R39" s="4">
        <f t="shared" si="6"/>
        <v>6.78644557243752</v>
      </c>
      <c r="S39" s="4">
        <f t="shared" si="5"/>
        <v>6.22452826553747</v>
      </c>
      <c r="T39" s="4">
        <f t="shared" si="5"/>
        <v>5.00307821684024</v>
      </c>
      <c r="U39" s="4">
        <f t="shared" si="5"/>
        <v>3.77213884140519</v>
      </c>
      <c r="V39" s="4">
        <f t="shared" si="5"/>
        <v>3.52379378346359</v>
      </c>
      <c r="W39" s="4">
        <f t="shared" si="5"/>
        <v>2.7744539729849</v>
      </c>
      <c r="X39" s="4">
        <f t="shared" si="5"/>
        <v>2.39420634771747</v>
      </c>
      <c r="Y39" s="4">
        <f t="shared" si="5"/>
        <v>1.99868505251374</v>
      </c>
      <c r="Z39" s="4">
        <f t="shared" si="5"/>
        <v>1.93688056483708</v>
      </c>
      <c r="AA39" s="4">
        <f t="shared" si="8"/>
        <v>1.74777051688822</v>
      </c>
      <c r="AB39" s="4">
        <f t="shared" si="8"/>
        <v>1.47162967481914</v>
      </c>
      <c r="AC39" s="4">
        <f t="shared" si="8"/>
        <v>1.24546180340459</v>
      </c>
      <c r="AD39" s="4">
        <f t="shared" si="8"/>
        <v>1.20805546184733</v>
      </c>
      <c r="AE39" s="4">
        <f t="shared" si="8"/>
        <v>1.05550797101006</v>
      </c>
      <c r="AF39" s="4">
        <f t="shared" si="8"/>
        <v>0.954071315964398</v>
      </c>
      <c r="AG39" s="4">
        <f t="shared" si="8"/>
        <v>0.878001089135106</v>
      </c>
      <c r="AH39" s="4">
        <f t="shared" si="8"/>
        <v>0.592948251646433</v>
      </c>
      <c r="AI39" s="4">
        <f t="shared" si="8"/>
        <v>0.432094706649927</v>
      </c>
      <c r="AJ39" s="4">
        <f t="shared" si="8"/>
        <v>0.355401965334779</v>
      </c>
    </row>
    <row r="40" spans="1:36">
      <c r="A40" t="str">
        <f>"post-semis_procurement_archetype_"&amp;TEXT(ROUND(Table2691617[[#This Row],[2016]],3),"0.0")</f>
        <v>post-semis_procurement_archetype_16.5</v>
      </c>
      <c r="B40" s="4">
        <f t="shared" si="2"/>
        <v>16.5</v>
      </c>
      <c r="C40" s="4">
        <f t="shared" si="6"/>
        <v>16.5</v>
      </c>
      <c r="D40" s="4">
        <f t="shared" si="6"/>
        <v>16.5</v>
      </c>
      <c r="E40" s="4">
        <f t="shared" si="6"/>
        <v>16.0671146934696</v>
      </c>
      <c r="F40" s="4">
        <f t="shared" si="6"/>
        <v>15.0205892185224</v>
      </c>
      <c r="G40" s="4">
        <f t="shared" si="6"/>
        <v>15.1668960379895</v>
      </c>
      <c r="H40" s="4">
        <f t="shared" si="6"/>
        <v>14.7126411336149</v>
      </c>
      <c r="I40" s="4">
        <f t="shared" si="6"/>
        <v>13.8339163974779</v>
      </c>
      <c r="J40" s="4">
        <f t="shared" si="6"/>
        <v>13.3402929389106</v>
      </c>
      <c r="K40" s="4">
        <f t="shared" si="6"/>
        <v>12.8335780229624</v>
      </c>
      <c r="L40" s="4">
        <f t="shared" si="6"/>
        <v>12.0331625104032</v>
      </c>
      <c r="M40" s="4">
        <f t="shared" si="6"/>
        <v>11.9360169489704</v>
      </c>
      <c r="N40" s="4">
        <f t="shared" si="6"/>
        <v>11.2801748863524</v>
      </c>
      <c r="O40" s="4">
        <f t="shared" si="6"/>
        <v>10.6001212042667</v>
      </c>
      <c r="P40" s="4">
        <f t="shared" si="6"/>
        <v>9.79615700367776</v>
      </c>
      <c r="Q40" s="4">
        <f t="shared" si="6"/>
        <v>8.49804758406735</v>
      </c>
      <c r="R40" s="4">
        <f t="shared" si="6"/>
        <v>6.74685675901549</v>
      </c>
      <c r="S40" s="4">
        <f t="shared" si="5"/>
        <v>6.18839855467803</v>
      </c>
      <c r="T40" s="4">
        <f t="shared" si="5"/>
        <v>4.97446762123432</v>
      </c>
      <c r="U40" s="4">
        <f t="shared" si="5"/>
        <v>3.75110577632855</v>
      </c>
      <c r="V40" s="4">
        <f t="shared" si="5"/>
        <v>3.50428950387866</v>
      </c>
      <c r="W40" s="4">
        <f t="shared" si="5"/>
        <v>2.75956254875582</v>
      </c>
      <c r="X40" s="4">
        <f t="shared" si="5"/>
        <v>2.38165568701148</v>
      </c>
      <c r="Y40" s="4">
        <f t="shared" si="5"/>
        <v>1.98856917840179</v>
      </c>
      <c r="Z40" s="4">
        <f t="shared" si="5"/>
        <v>1.92714515251031</v>
      </c>
      <c r="AA40" s="4">
        <f t="shared" si="8"/>
        <v>1.73919924569652</v>
      </c>
      <c r="AB40" s="4">
        <f t="shared" si="8"/>
        <v>1.46475829697955</v>
      </c>
      <c r="AC40" s="4">
        <f t="shared" si="8"/>
        <v>1.23998269067942</v>
      </c>
      <c r="AD40" s="4">
        <f t="shared" si="8"/>
        <v>1.20280661854144</v>
      </c>
      <c r="AE40" s="4">
        <f t="shared" si="8"/>
        <v>1.05119819366635</v>
      </c>
      <c r="AF40" s="4">
        <f t="shared" si="8"/>
        <v>0.950385971769656</v>
      </c>
      <c r="AG40" s="4">
        <f t="shared" si="8"/>
        <v>0.874784025082889</v>
      </c>
      <c r="AH40" s="4">
        <f t="shared" si="8"/>
        <v>0.591485942232529</v>
      </c>
      <c r="AI40" s="4">
        <f t="shared" si="8"/>
        <v>0.431622594375117</v>
      </c>
      <c r="AJ40" s="4">
        <f t="shared" si="8"/>
        <v>0.355401965334779</v>
      </c>
    </row>
    <row r="41" spans="1:36">
      <c r="A41" t="str">
        <f>"post-semis_procurement_archetype_"&amp;TEXT(ROUND(Table2691617[[#This Row],[2016]],3),"0.0")</f>
        <v>post-semis_procurement_archetype_16.4</v>
      </c>
      <c r="B41" s="4">
        <f t="shared" si="2"/>
        <v>16.4</v>
      </c>
      <c r="C41" s="4">
        <f t="shared" si="6"/>
        <v>16.4</v>
      </c>
      <c r="D41" s="4">
        <f t="shared" si="6"/>
        <v>16.4</v>
      </c>
      <c r="E41" s="4">
        <f t="shared" si="6"/>
        <v>15.9697959947048</v>
      </c>
      <c r="F41" s="4">
        <f t="shared" si="6"/>
        <v>14.9297527218708</v>
      </c>
      <c r="G41" s="4">
        <f t="shared" si="6"/>
        <v>15.0751533136376</v>
      </c>
      <c r="H41" s="4">
        <f t="shared" si="6"/>
        <v>14.6237120742636</v>
      </c>
      <c r="I41" s="4">
        <f t="shared" si="6"/>
        <v>13.7504301787241</v>
      </c>
      <c r="J41" s="4">
        <f t="shared" si="6"/>
        <v>13.2598642348592</v>
      </c>
      <c r="K41" s="4">
        <f t="shared" si="6"/>
        <v>12.7562879223923</v>
      </c>
      <c r="L41" s="4">
        <f t="shared" si="6"/>
        <v>11.9608302013548</v>
      </c>
      <c r="M41" s="4">
        <f t="shared" si="6"/>
        <v>11.8642863616942</v>
      </c>
      <c r="N41" s="4">
        <f t="shared" si="6"/>
        <v>11.2125065994272</v>
      </c>
      <c r="O41" s="4">
        <f t="shared" si="6"/>
        <v>10.5366651850029</v>
      </c>
      <c r="P41" s="4">
        <f t="shared" si="6"/>
        <v>9.73768075658835</v>
      </c>
      <c r="Q41" s="4">
        <f t="shared" si="6"/>
        <v>8.44761185565065</v>
      </c>
      <c r="R41" s="4">
        <f t="shared" si="6"/>
        <v>6.70726794559346</v>
      </c>
      <c r="S41" s="4">
        <f t="shared" si="5"/>
        <v>6.15226884381859</v>
      </c>
      <c r="T41" s="4">
        <f t="shared" si="5"/>
        <v>4.9458570256284</v>
      </c>
      <c r="U41" s="4">
        <f t="shared" si="5"/>
        <v>3.7300727112519</v>
      </c>
      <c r="V41" s="4">
        <f t="shared" si="5"/>
        <v>3.48478522429373</v>
      </c>
      <c r="W41" s="4">
        <f t="shared" si="5"/>
        <v>2.74467112452675</v>
      </c>
      <c r="X41" s="4">
        <f t="shared" si="5"/>
        <v>2.36910502630549</v>
      </c>
      <c r="Y41" s="4">
        <f t="shared" si="5"/>
        <v>1.97845330428984</v>
      </c>
      <c r="Z41" s="4">
        <f t="shared" si="5"/>
        <v>1.91740974018353</v>
      </c>
      <c r="AA41" s="4">
        <f t="shared" si="8"/>
        <v>1.73062797450481</v>
      </c>
      <c r="AB41" s="4">
        <f t="shared" si="8"/>
        <v>1.45788691913996</v>
      </c>
      <c r="AC41" s="4">
        <f t="shared" si="8"/>
        <v>1.23450357795425</v>
      </c>
      <c r="AD41" s="4">
        <f t="shared" si="8"/>
        <v>1.19755777523554</v>
      </c>
      <c r="AE41" s="4">
        <f t="shared" si="8"/>
        <v>1.04688841632263</v>
      </c>
      <c r="AF41" s="4">
        <f t="shared" si="8"/>
        <v>0.946700627574915</v>
      </c>
      <c r="AG41" s="4">
        <f t="shared" si="8"/>
        <v>0.871566961030672</v>
      </c>
      <c r="AH41" s="4">
        <f t="shared" si="8"/>
        <v>0.590023632818626</v>
      </c>
      <c r="AI41" s="4">
        <f t="shared" si="8"/>
        <v>0.431150482100307</v>
      </c>
      <c r="AJ41" s="4">
        <f t="shared" si="8"/>
        <v>0.355401965334779</v>
      </c>
    </row>
    <row r="42" spans="1:36">
      <c r="A42" t="str">
        <f>"post-semis_procurement_archetype_"&amp;TEXT(ROUND(Table2691617[[#This Row],[2016]],3),"0.0")</f>
        <v>post-semis_procurement_archetype_16.3</v>
      </c>
      <c r="B42" s="4">
        <f t="shared" si="2"/>
        <v>16.3</v>
      </c>
      <c r="C42" s="4">
        <f t="shared" si="6"/>
        <v>16.3</v>
      </c>
      <c r="D42" s="4">
        <f t="shared" si="6"/>
        <v>16.3</v>
      </c>
      <c r="E42" s="4">
        <f t="shared" si="6"/>
        <v>15.8724772959401</v>
      </c>
      <c r="F42" s="4">
        <f t="shared" si="6"/>
        <v>14.8389162252191</v>
      </c>
      <c r="G42" s="4">
        <f t="shared" si="6"/>
        <v>14.9834105892858</v>
      </c>
      <c r="H42" s="4">
        <f t="shared" si="6"/>
        <v>14.5347830149123</v>
      </c>
      <c r="I42" s="4">
        <f t="shared" si="6"/>
        <v>13.6669439599703</v>
      </c>
      <c r="J42" s="4">
        <f t="shared" si="6"/>
        <v>13.1794355308079</v>
      </c>
      <c r="K42" s="4">
        <f t="shared" si="6"/>
        <v>12.6789978218223</v>
      </c>
      <c r="L42" s="4">
        <f t="shared" si="6"/>
        <v>11.8884978923063</v>
      </c>
      <c r="M42" s="4">
        <f t="shared" si="6"/>
        <v>11.7925557744181</v>
      </c>
      <c r="N42" s="4">
        <f t="shared" si="6"/>
        <v>11.144838312502</v>
      </c>
      <c r="O42" s="4">
        <f t="shared" si="6"/>
        <v>10.4732091657392</v>
      </c>
      <c r="P42" s="4">
        <f t="shared" si="6"/>
        <v>9.67920450949894</v>
      </c>
      <c r="Q42" s="4">
        <f t="shared" si="6"/>
        <v>8.39717612723394</v>
      </c>
      <c r="R42" s="4">
        <f t="shared" si="6"/>
        <v>6.66767913217143</v>
      </c>
      <c r="S42" s="4">
        <f t="shared" si="5"/>
        <v>6.11613913295915</v>
      </c>
      <c r="T42" s="4">
        <f t="shared" si="5"/>
        <v>4.91724643002248</v>
      </c>
      <c r="U42" s="4">
        <f t="shared" si="5"/>
        <v>3.70903964617526</v>
      </c>
      <c r="V42" s="4">
        <f t="shared" si="5"/>
        <v>3.46528094470881</v>
      </c>
      <c r="W42" s="4">
        <f t="shared" si="5"/>
        <v>2.72977970029767</v>
      </c>
      <c r="X42" s="4">
        <f t="shared" si="5"/>
        <v>2.3565543655995</v>
      </c>
      <c r="Y42" s="4">
        <f t="shared" si="5"/>
        <v>1.96833743017789</v>
      </c>
      <c r="Z42" s="4">
        <f t="shared" si="5"/>
        <v>1.90767432785675</v>
      </c>
      <c r="AA42" s="4">
        <f t="shared" si="8"/>
        <v>1.72205670331311</v>
      </c>
      <c r="AB42" s="4">
        <f t="shared" si="8"/>
        <v>1.45101554130037</v>
      </c>
      <c r="AC42" s="4">
        <f t="shared" si="8"/>
        <v>1.22902446522908</v>
      </c>
      <c r="AD42" s="4">
        <f t="shared" si="8"/>
        <v>1.19230893192964</v>
      </c>
      <c r="AE42" s="4">
        <f t="shared" si="8"/>
        <v>1.04257863897892</v>
      </c>
      <c r="AF42" s="4">
        <f t="shared" si="8"/>
        <v>0.943015283380173</v>
      </c>
      <c r="AG42" s="4">
        <f t="shared" si="8"/>
        <v>0.868349896978455</v>
      </c>
      <c r="AH42" s="4">
        <f t="shared" si="8"/>
        <v>0.588561323404723</v>
      </c>
      <c r="AI42" s="4">
        <f t="shared" si="8"/>
        <v>0.430678369825498</v>
      </c>
      <c r="AJ42" s="4">
        <f t="shared" si="8"/>
        <v>0.355401965334779</v>
      </c>
    </row>
    <row r="43" spans="1:36">
      <c r="A43" t="str">
        <f>"post-semis_procurement_archetype_"&amp;TEXT(ROUND(Table2691617[[#This Row],[2016]],3),"0.0")</f>
        <v>post-semis_procurement_archetype_16.2</v>
      </c>
      <c r="B43" s="4">
        <f t="shared" si="2"/>
        <v>16.2</v>
      </c>
      <c r="C43" s="4">
        <f t="shared" si="6"/>
        <v>16.2</v>
      </c>
      <c r="D43" s="4">
        <f t="shared" si="6"/>
        <v>16.2</v>
      </c>
      <c r="E43" s="4">
        <f t="shared" si="6"/>
        <v>15.7751585971753</v>
      </c>
      <c r="F43" s="4">
        <f t="shared" si="6"/>
        <v>14.7480797285674</v>
      </c>
      <c r="G43" s="4">
        <f t="shared" si="6"/>
        <v>14.891667864934</v>
      </c>
      <c r="H43" s="4">
        <f t="shared" si="6"/>
        <v>14.445853955561</v>
      </c>
      <c r="I43" s="4">
        <f t="shared" si="6"/>
        <v>13.5834577412165</v>
      </c>
      <c r="J43" s="4">
        <f t="shared" si="6"/>
        <v>13.0990068267566</v>
      </c>
      <c r="K43" s="4">
        <f t="shared" si="6"/>
        <v>12.6017077212522</v>
      </c>
      <c r="L43" s="4">
        <f t="shared" si="6"/>
        <v>11.8161655832578</v>
      </c>
      <c r="M43" s="4">
        <f t="shared" si="6"/>
        <v>11.720825187142</v>
      </c>
      <c r="N43" s="4">
        <f t="shared" si="6"/>
        <v>11.0771700255768</v>
      </c>
      <c r="O43" s="4">
        <f t="shared" si="6"/>
        <v>10.4097531464754</v>
      </c>
      <c r="P43" s="4">
        <f t="shared" si="6"/>
        <v>9.62072826240953</v>
      </c>
      <c r="Q43" s="4">
        <f t="shared" si="6"/>
        <v>8.34674039881723</v>
      </c>
      <c r="R43" s="4">
        <f t="shared" si="6"/>
        <v>6.62809031874939</v>
      </c>
      <c r="S43" s="4">
        <f t="shared" si="5"/>
        <v>6.08000942209971</v>
      </c>
      <c r="T43" s="4">
        <f t="shared" si="5"/>
        <v>4.88863583441656</v>
      </c>
      <c r="U43" s="4">
        <f t="shared" si="5"/>
        <v>3.68800658109861</v>
      </c>
      <c r="V43" s="4">
        <f t="shared" si="5"/>
        <v>3.44577666512388</v>
      </c>
      <c r="W43" s="4">
        <f t="shared" si="5"/>
        <v>2.71488827606859</v>
      </c>
      <c r="X43" s="4">
        <f t="shared" si="5"/>
        <v>2.34400370489351</v>
      </c>
      <c r="Y43" s="4">
        <f t="shared" si="5"/>
        <v>1.95822155606594</v>
      </c>
      <c r="Z43" s="4">
        <f t="shared" si="5"/>
        <v>1.89793891552997</v>
      </c>
      <c r="AA43" s="4">
        <f t="shared" si="8"/>
        <v>1.71348543212141</v>
      </c>
      <c r="AB43" s="4">
        <f t="shared" si="8"/>
        <v>1.44414416346078</v>
      </c>
      <c r="AC43" s="4">
        <f t="shared" si="8"/>
        <v>1.22354535250391</v>
      </c>
      <c r="AD43" s="4">
        <f t="shared" si="8"/>
        <v>1.18706008862374</v>
      </c>
      <c r="AE43" s="4">
        <f t="shared" si="8"/>
        <v>1.03826886163521</v>
      </c>
      <c r="AF43" s="4">
        <f t="shared" si="8"/>
        <v>0.939329939185432</v>
      </c>
      <c r="AG43" s="4">
        <f t="shared" si="8"/>
        <v>0.865132832926238</v>
      </c>
      <c r="AH43" s="4">
        <f t="shared" si="8"/>
        <v>0.58709901399082</v>
      </c>
      <c r="AI43" s="4">
        <f t="shared" si="8"/>
        <v>0.430206257550688</v>
      </c>
      <c r="AJ43" s="4">
        <f t="shared" si="8"/>
        <v>0.355401965334779</v>
      </c>
    </row>
    <row r="44" spans="1:36">
      <c r="A44" t="str">
        <f>"post-semis_procurement_archetype_"&amp;TEXT(ROUND(Table2691617[[#This Row],[2016]],3),"0.0")</f>
        <v>post-semis_procurement_archetype_16.1</v>
      </c>
      <c r="B44" s="4">
        <f t="shared" si="2"/>
        <v>16.1</v>
      </c>
      <c r="C44" s="4">
        <f t="shared" si="6"/>
        <v>16.1</v>
      </c>
      <c r="D44" s="4">
        <f t="shared" si="6"/>
        <v>16.1</v>
      </c>
      <c r="E44" s="4">
        <f t="shared" si="6"/>
        <v>15.6778398984106</v>
      </c>
      <c r="F44" s="4">
        <f t="shared" si="6"/>
        <v>14.6572432319157</v>
      </c>
      <c r="G44" s="4">
        <f t="shared" si="6"/>
        <v>14.7999251405821</v>
      </c>
      <c r="H44" s="4">
        <f t="shared" si="6"/>
        <v>14.3569248962096</v>
      </c>
      <c r="I44" s="4">
        <f t="shared" si="6"/>
        <v>13.4999715224627</v>
      </c>
      <c r="J44" s="4">
        <f t="shared" si="6"/>
        <v>13.0185781227053</v>
      </c>
      <c r="K44" s="4">
        <f t="shared" si="6"/>
        <v>12.5244176206821</v>
      </c>
      <c r="L44" s="4">
        <f t="shared" si="6"/>
        <v>11.7438332742093</v>
      </c>
      <c r="M44" s="4">
        <f t="shared" si="6"/>
        <v>11.6490945998658</v>
      </c>
      <c r="N44" s="4">
        <f t="shared" si="6"/>
        <v>11.0095017386516</v>
      </c>
      <c r="O44" s="4">
        <f t="shared" si="6"/>
        <v>10.3462971272117</v>
      </c>
      <c r="P44" s="4">
        <f t="shared" si="6"/>
        <v>9.56225201532012</v>
      </c>
      <c r="Q44" s="4">
        <f t="shared" si="6"/>
        <v>8.29630467040053</v>
      </c>
      <c r="R44" s="4">
        <f t="shared" ref="R44:AG59" si="9">(($B44-$AJ$2)*((R$2-$AJ$2)/($B$2-$AJ$2)))+$AJ$2</f>
        <v>6.58850150532736</v>
      </c>
      <c r="S44" s="4">
        <f t="shared" si="9"/>
        <v>6.04387971124028</v>
      </c>
      <c r="T44" s="4">
        <f t="shared" si="9"/>
        <v>4.86002523881064</v>
      </c>
      <c r="U44" s="4">
        <f t="shared" si="9"/>
        <v>3.66697351602197</v>
      </c>
      <c r="V44" s="4">
        <f t="shared" si="9"/>
        <v>3.42627238553895</v>
      </c>
      <c r="W44" s="4">
        <f t="shared" si="9"/>
        <v>2.69999685183952</v>
      </c>
      <c r="X44" s="4">
        <f t="shared" si="9"/>
        <v>2.33145304418752</v>
      </c>
      <c r="Y44" s="4">
        <f t="shared" si="9"/>
        <v>1.94810568195399</v>
      </c>
      <c r="Z44" s="4">
        <f t="shared" si="9"/>
        <v>1.88820350320319</v>
      </c>
      <c r="AA44" s="4">
        <f t="shared" si="9"/>
        <v>1.7049141609297</v>
      </c>
      <c r="AB44" s="4">
        <f t="shared" si="9"/>
        <v>1.4372727856212</v>
      </c>
      <c r="AC44" s="4">
        <f t="shared" si="9"/>
        <v>1.21806623977874</v>
      </c>
      <c r="AD44" s="4">
        <f t="shared" si="9"/>
        <v>1.18181124531784</v>
      </c>
      <c r="AE44" s="4">
        <f t="shared" si="9"/>
        <v>1.03395908429149</v>
      </c>
      <c r="AF44" s="4">
        <f t="shared" si="9"/>
        <v>0.935644594990691</v>
      </c>
      <c r="AG44" s="4">
        <f t="shared" si="9"/>
        <v>0.861915768874022</v>
      </c>
      <c r="AH44" s="4">
        <f t="shared" si="8"/>
        <v>0.585636704576916</v>
      </c>
      <c r="AI44" s="4">
        <f t="shared" si="8"/>
        <v>0.429734145275878</v>
      </c>
      <c r="AJ44" s="4">
        <f t="shared" si="8"/>
        <v>0.355401965334779</v>
      </c>
    </row>
    <row r="45" spans="1:36">
      <c r="A45" t="str">
        <f>"post-semis_procurement_archetype_"&amp;TEXT(ROUND(Table2691617[[#This Row],[2016]],3),"0.0")</f>
        <v>post-semis_procurement_archetype_16.0</v>
      </c>
      <c r="B45" s="4">
        <f t="shared" si="2"/>
        <v>16</v>
      </c>
      <c r="C45" s="4">
        <f t="shared" ref="C45:R60" si="10">(($B45-$AJ$2)*((C$2-$AJ$2)/($B$2-$AJ$2)))+$AJ$2</f>
        <v>16</v>
      </c>
      <c r="D45" s="4">
        <f t="shared" si="10"/>
        <v>16</v>
      </c>
      <c r="E45" s="4">
        <f t="shared" si="10"/>
        <v>15.5805211996458</v>
      </c>
      <c r="F45" s="4">
        <f t="shared" si="10"/>
        <v>14.566406735264</v>
      </c>
      <c r="G45" s="4">
        <f t="shared" si="10"/>
        <v>14.7081824162303</v>
      </c>
      <c r="H45" s="4">
        <f t="shared" si="10"/>
        <v>14.2679958368583</v>
      </c>
      <c r="I45" s="4">
        <f t="shared" si="10"/>
        <v>13.4164853037088</v>
      </c>
      <c r="J45" s="4">
        <f t="shared" si="10"/>
        <v>12.938149418654</v>
      </c>
      <c r="K45" s="4">
        <f t="shared" si="10"/>
        <v>12.447127520112</v>
      </c>
      <c r="L45" s="4">
        <f t="shared" si="10"/>
        <v>11.6715009651608</v>
      </c>
      <c r="M45" s="4">
        <f t="shared" si="10"/>
        <v>11.5773640125897</v>
      </c>
      <c r="N45" s="4">
        <f t="shared" si="10"/>
        <v>10.9418334517264</v>
      </c>
      <c r="O45" s="4">
        <f t="shared" si="10"/>
        <v>10.2828411079479</v>
      </c>
      <c r="P45" s="4">
        <f t="shared" si="10"/>
        <v>9.50377576823071</v>
      </c>
      <c r="Q45" s="4">
        <f t="shared" si="10"/>
        <v>8.24586894198382</v>
      </c>
      <c r="R45" s="4">
        <f t="shared" si="10"/>
        <v>6.54891269190533</v>
      </c>
      <c r="S45" s="4">
        <f t="shared" si="9"/>
        <v>6.00775000038084</v>
      </c>
      <c r="T45" s="4">
        <f t="shared" si="9"/>
        <v>4.83141464320472</v>
      </c>
      <c r="U45" s="4">
        <f t="shared" si="9"/>
        <v>3.64594045094532</v>
      </c>
      <c r="V45" s="4">
        <f t="shared" si="9"/>
        <v>3.40676810595402</v>
      </c>
      <c r="W45" s="4">
        <f t="shared" si="9"/>
        <v>2.68510542761044</v>
      </c>
      <c r="X45" s="4">
        <f t="shared" si="9"/>
        <v>2.31890238348153</v>
      </c>
      <c r="Y45" s="4">
        <f t="shared" si="9"/>
        <v>1.93798980784204</v>
      </c>
      <c r="Z45" s="4">
        <f t="shared" si="9"/>
        <v>1.87846809087642</v>
      </c>
      <c r="AA45" s="4">
        <f t="shared" si="9"/>
        <v>1.696342889738</v>
      </c>
      <c r="AB45" s="4">
        <f t="shared" si="9"/>
        <v>1.43040140778161</v>
      </c>
      <c r="AC45" s="4">
        <f t="shared" si="9"/>
        <v>1.21258712705357</v>
      </c>
      <c r="AD45" s="4">
        <f t="shared" si="9"/>
        <v>1.17656240201195</v>
      </c>
      <c r="AE45" s="4">
        <f t="shared" si="9"/>
        <v>1.02964930694778</v>
      </c>
      <c r="AF45" s="4">
        <f t="shared" si="9"/>
        <v>0.931959250795949</v>
      </c>
      <c r="AG45" s="4">
        <f t="shared" si="9"/>
        <v>0.858698704821805</v>
      </c>
      <c r="AH45" s="4">
        <f t="shared" si="8"/>
        <v>0.584174395163013</v>
      </c>
      <c r="AI45" s="4">
        <f t="shared" si="8"/>
        <v>0.429262033001068</v>
      </c>
      <c r="AJ45" s="4">
        <f t="shared" si="8"/>
        <v>0.355401965334779</v>
      </c>
    </row>
    <row r="46" spans="1:36">
      <c r="A46" t="str">
        <f>"post-semis_procurement_archetype_"&amp;TEXT(ROUND(Table2691617[[#This Row],[2016]],3),"0.0")</f>
        <v>post-semis_procurement_archetype_15.9</v>
      </c>
      <c r="B46" s="4">
        <f t="shared" si="2"/>
        <v>15.9</v>
      </c>
      <c r="C46" s="4">
        <f t="shared" si="10"/>
        <v>15.9</v>
      </c>
      <c r="D46" s="4">
        <f t="shared" si="10"/>
        <v>15.9</v>
      </c>
      <c r="E46" s="4">
        <f t="shared" si="10"/>
        <v>15.4832025008811</v>
      </c>
      <c r="F46" s="4">
        <f t="shared" si="10"/>
        <v>14.4755702386123</v>
      </c>
      <c r="G46" s="4">
        <f t="shared" si="10"/>
        <v>14.6164396918785</v>
      </c>
      <c r="H46" s="4">
        <f t="shared" si="10"/>
        <v>14.179066777507</v>
      </c>
      <c r="I46" s="4">
        <f t="shared" si="10"/>
        <v>13.332999084955</v>
      </c>
      <c r="J46" s="4">
        <f t="shared" si="10"/>
        <v>12.8577207146026</v>
      </c>
      <c r="K46" s="4">
        <f t="shared" si="10"/>
        <v>12.369837419542</v>
      </c>
      <c r="L46" s="4">
        <f t="shared" si="10"/>
        <v>11.5991686561124</v>
      </c>
      <c r="M46" s="4">
        <f t="shared" si="10"/>
        <v>11.5056334253136</v>
      </c>
      <c r="N46" s="4">
        <f t="shared" si="10"/>
        <v>10.8741651648012</v>
      </c>
      <c r="O46" s="4">
        <f t="shared" si="10"/>
        <v>10.2193850886842</v>
      </c>
      <c r="P46" s="4">
        <f t="shared" si="10"/>
        <v>9.4452995211413</v>
      </c>
      <c r="Q46" s="4">
        <f t="shared" si="10"/>
        <v>8.19543321356712</v>
      </c>
      <c r="R46" s="4">
        <f t="shared" si="10"/>
        <v>6.5093238784833</v>
      </c>
      <c r="S46" s="4">
        <f t="shared" si="9"/>
        <v>5.9716202895214</v>
      </c>
      <c r="T46" s="4">
        <f t="shared" si="9"/>
        <v>4.8028040475988</v>
      </c>
      <c r="U46" s="4">
        <f t="shared" si="9"/>
        <v>3.62490738586868</v>
      </c>
      <c r="V46" s="4">
        <f t="shared" si="9"/>
        <v>3.3872638263691</v>
      </c>
      <c r="W46" s="4">
        <f t="shared" si="9"/>
        <v>2.67021400338137</v>
      </c>
      <c r="X46" s="4">
        <f t="shared" si="9"/>
        <v>2.30635172277554</v>
      </c>
      <c r="Y46" s="4">
        <f t="shared" si="9"/>
        <v>1.92787393373009</v>
      </c>
      <c r="Z46" s="4">
        <f t="shared" si="9"/>
        <v>1.86873267854964</v>
      </c>
      <c r="AA46" s="4">
        <f t="shared" si="9"/>
        <v>1.68777161854629</v>
      </c>
      <c r="AB46" s="4">
        <f t="shared" si="9"/>
        <v>1.42353002994202</v>
      </c>
      <c r="AC46" s="4">
        <f t="shared" si="9"/>
        <v>1.20710801432841</v>
      </c>
      <c r="AD46" s="4">
        <f t="shared" si="9"/>
        <v>1.17131355870605</v>
      </c>
      <c r="AE46" s="4">
        <f t="shared" si="9"/>
        <v>1.02533952960407</v>
      </c>
      <c r="AF46" s="4">
        <f t="shared" si="9"/>
        <v>0.928273906601208</v>
      </c>
      <c r="AG46" s="4">
        <f t="shared" si="9"/>
        <v>0.855481640769588</v>
      </c>
      <c r="AH46" s="4">
        <f t="shared" si="8"/>
        <v>0.58271208574911</v>
      </c>
      <c r="AI46" s="4">
        <f t="shared" si="8"/>
        <v>0.428789920726259</v>
      </c>
      <c r="AJ46" s="4">
        <f t="shared" si="8"/>
        <v>0.355401965334779</v>
      </c>
    </row>
    <row r="47" spans="1:36">
      <c r="A47" t="str">
        <f>"post-semis_procurement_archetype_"&amp;TEXT(ROUND(Table2691617[[#This Row],[2016]],3),"0.0")</f>
        <v>post-semis_procurement_archetype_15.8</v>
      </c>
      <c r="B47" s="4">
        <f t="shared" si="2"/>
        <v>15.8</v>
      </c>
      <c r="C47" s="4">
        <f t="shared" si="10"/>
        <v>15.8</v>
      </c>
      <c r="D47" s="4">
        <f t="shared" si="10"/>
        <v>15.8</v>
      </c>
      <c r="E47" s="4">
        <f t="shared" si="10"/>
        <v>15.3858838021164</v>
      </c>
      <c r="F47" s="4">
        <f t="shared" si="10"/>
        <v>14.3847337419606</v>
      </c>
      <c r="G47" s="4">
        <f t="shared" si="10"/>
        <v>14.5246969675266</v>
      </c>
      <c r="H47" s="4">
        <f t="shared" si="10"/>
        <v>14.0901377181557</v>
      </c>
      <c r="I47" s="4">
        <f t="shared" si="10"/>
        <v>13.2495128662012</v>
      </c>
      <c r="J47" s="4">
        <f t="shared" si="10"/>
        <v>12.7772920105513</v>
      </c>
      <c r="K47" s="4">
        <f t="shared" si="10"/>
        <v>12.2925473189719</v>
      </c>
      <c r="L47" s="4">
        <f t="shared" si="10"/>
        <v>11.5268363470639</v>
      </c>
      <c r="M47" s="4">
        <f t="shared" si="10"/>
        <v>11.4339028380375</v>
      </c>
      <c r="N47" s="4">
        <f t="shared" si="10"/>
        <v>10.806496877876</v>
      </c>
      <c r="O47" s="4">
        <f t="shared" si="10"/>
        <v>10.1559290694204</v>
      </c>
      <c r="P47" s="4">
        <f t="shared" si="10"/>
        <v>9.38682327405189</v>
      </c>
      <c r="Q47" s="4">
        <f t="shared" si="10"/>
        <v>8.14499748515041</v>
      </c>
      <c r="R47" s="4">
        <f t="shared" si="10"/>
        <v>6.46973506506126</v>
      </c>
      <c r="S47" s="4">
        <f t="shared" si="9"/>
        <v>5.93549057866196</v>
      </c>
      <c r="T47" s="4">
        <f t="shared" si="9"/>
        <v>4.77419345199287</v>
      </c>
      <c r="U47" s="4">
        <f t="shared" si="9"/>
        <v>3.60387432079204</v>
      </c>
      <c r="V47" s="4">
        <f t="shared" si="9"/>
        <v>3.36775954678417</v>
      </c>
      <c r="W47" s="4">
        <f t="shared" si="9"/>
        <v>2.65532257915229</v>
      </c>
      <c r="X47" s="4">
        <f t="shared" si="9"/>
        <v>2.29380106206955</v>
      </c>
      <c r="Y47" s="4">
        <f t="shared" si="9"/>
        <v>1.91775805961814</v>
      </c>
      <c r="Z47" s="4">
        <f t="shared" si="9"/>
        <v>1.85899726622286</v>
      </c>
      <c r="AA47" s="4">
        <f t="shared" si="9"/>
        <v>1.67920034735459</v>
      </c>
      <c r="AB47" s="4">
        <f t="shared" si="9"/>
        <v>1.41665865210243</v>
      </c>
      <c r="AC47" s="4">
        <f t="shared" si="9"/>
        <v>1.20162890160324</v>
      </c>
      <c r="AD47" s="4">
        <f t="shared" si="9"/>
        <v>1.16606471540015</v>
      </c>
      <c r="AE47" s="4">
        <f t="shared" si="9"/>
        <v>1.02102975226035</v>
      </c>
      <c r="AF47" s="4">
        <f t="shared" si="9"/>
        <v>0.924588562406466</v>
      </c>
      <c r="AG47" s="4">
        <f t="shared" si="9"/>
        <v>0.852264576717371</v>
      </c>
      <c r="AH47" s="4">
        <f t="shared" si="8"/>
        <v>0.581249776335207</v>
      </c>
      <c r="AI47" s="4">
        <f t="shared" si="8"/>
        <v>0.428317808451449</v>
      </c>
      <c r="AJ47" s="4">
        <f t="shared" si="8"/>
        <v>0.355401965334779</v>
      </c>
    </row>
    <row r="48" spans="1:36">
      <c r="A48" t="str">
        <f>"post-semis_procurement_archetype_"&amp;TEXT(ROUND(Table2691617[[#This Row],[2016]],3),"0.0")</f>
        <v>post-semis_procurement_archetype_15.7</v>
      </c>
      <c r="B48" s="4">
        <f t="shared" si="2"/>
        <v>15.7</v>
      </c>
      <c r="C48" s="4">
        <f t="shared" si="10"/>
        <v>15.7</v>
      </c>
      <c r="D48" s="4">
        <f t="shared" si="10"/>
        <v>15.7</v>
      </c>
      <c r="E48" s="4">
        <f t="shared" si="10"/>
        <v>15.2885651033516</v>
      </c>
      <c r="F48" s="4">
        <f t="shared" si="10"/>
        <v>14.2938972453089</v>
      </c>
      <c r="G48" s="4">
        <f t="shared" si="10"/>
        <v>14.4329542431748</v>
      </c>
      <c r="H48" s="4">
        <f t="shared" si="10"/>
        <v>14.0012086588043</v>
      </c>
      <c r="I48" s="4">
        <f t="shared" si="10"/>
        <v>13.1660266474474</v>
      </c>
      <c r="J48" s="4">
        <f t="shared" si="10"/>
        <v>12.6968633065</v>
      </c>
      <c r="K48" s="4">
        <f t="shared" si="10"/>
        <v>12.2152572184018</v>
      </c>
      <c r="L48" s="4">
        <f t="shared" si="10"/>
        <v>11.4545040380154</v>
      </c>
      <c r="M48" s="4">
        <f t="shared" si="10"/>
        <v>11.3621722507613</v>
      </c>
      <c r="N48" s="4">
        <f t="shared" si="10"/>
        <v>10.7388285909508</v>
      </c>
      <c r="O48" s="4">
        <f t="shared" si="10"/>
        <v>10.0924730501567</v>
      </c>
      <c r="P48" s="4">
        <f t="shared" si="10"/>
        <v>9.32834702696248</v>
      </c>
      <c r="Q48" s="4">
        <f t="shared" si="10"/>
        <v>8.09456175673371</v>
      </c>
      <c r="R48" s="4">
        <f t="shared" si="10"/>
        <v>6.43014625163923</v>
      </c>
      <c r="S48" s="4">
        <f t="shared" si="9"/>
        <v>5.89936086780252</v>
      </c>
      <c r="T48" s="4">
        <f t="shared" si="9"/>
        <v>4.74558285638695</v>
      </c>
      <c r="U48" s="4">
        <f t="shared" si="9"/>
        <v>3.58284125571539</v>
      </c>
      <c r="V48" s="4">
        <f t="shared" si="9"/>
        <v>3.34825526719924</v>
      </c>
      <c r="W48" s="4">
        <f t="shared" si="9"/>
        <v>2.64043115492321</v>
      </c>
      <c r="X48" s="4">
        <f t="shared" si="9"/>
        <v>2.28125040136356</v>
      </c>
      <c r="Y48" s="4">
        <f t="shared" si="9"/>
        <v>1.90764218550619</v>
      </c>
      <c r="Z48" s="4">
        <f t="shared" si="9"/>
        <v>1.84926185389608</v>
      </c>
      <c r="AA48" s="4">
        <f t="shared" si="9"/>
        <v>1.67062907616288</v>
      </c>
      <c r="AB48" s="4">
        <f t="shared" si="9"/>
        <v>1.40978727426284</v>
      </c>
      <c r="AC48" s="4">
        <f t="shared" si="9"/>
        <v>1.19614978887807</v>
      </c>
      <c r="AD48" s="4">
        <f t="shared" si="9"/>
        <v>1.16081587209425</v>
      </c>
      <c r="AE48" s="4">
        <f t="shared" si="9"/>
        <v>1.01671997491664</v>
      </c>
      <c r="AF48" s="4">
        <f t="shared" si="9"/>
        <v>0.920903218211725</v>
      </c>
      <c r="AG48" s="4">
        <f t="shared" si="9"/>
        <v>0.849047512665155</v>
      </c>
      <c r="AH48" s="4">
        <f t="shared" si="8"/>
        <v>0.579787466921303</v>
      </c>
      <c r="AI48" s="4">
        <f t="shared" si="8"/>
        <v>0.427845696176639</v>
      </c>
      <c r="AJ48" s="4">
        <f t="shared" si="8"/>
        <v>0.355401965334779</v>
      </c>
    </row>
    <row r="49" spans="1:36">
      <c r="A49" t="str">
        <f>"post-semis_procurement_archetype_"&amp;TEXT(ROUND(Table2691617[[#This Row],[2016]],3),"0.0")</f>
        <v>post-semis_procurement_archetype_15.6</v>
      </c>
      <c r="B49" s="4">
        <f t="shared" si="2"/>
        <v>15.6</v>
      </c>
      <c r="C49" s="4">
        <f t="shared" si="10"/>
        <v>15.6</v>
      </c>
      <c r="D49" s="4">
        <f t="shared" si="10"/>
        <v>15.6</v>
      </c>
      <c r="E49" s="4">
        <f t="shared" si="10"/>
        <v>15.1912464045869</v>
      </c>
      <c r="F49" s="4">
        <f t="shared" si="10"/>
        <v>14.2030607486572</v>
      </c>
      <c r="G49" s="4">
        <f t="shared" si="10"/>
        <v>14.341211518823</v>
      </c>
      <c r="H49" s="4">
        <f t="shared" si="10"/>
        <v>13.912279599453</v>
      </c>
      <c r="I49" s="4">
        <f t="shared" si="10"/>
        <v>13.0825404286936</v>
      </c>
      <c r="J49" s="4">
        <f t="shared" si="10"/>
        <v>12.6164346024487</v>
      </c>
      <c r="K49" s="4">
        <f t="shared" si="10"/>
        <v>12.1379671178317</v>
      </c>
      <c r="L49" s="4">
        <f t="shared" si="10"/>
        <v>11.3821717289669</v>
      </c>
      <c r="M49" s="4">
        <f t="shared" si="10"/>
        <v>11.2904416634852</v>
      </c>
      <c r="N49" s="4">
        <f t="shared" si="10"/>
        <v>10.6711603040256</v>
      </c>
      <c r="O49" s="4">
        <f t="shared" si="10"/>
        <v>10.0290170308929</v>
      </c>
      <c r="P49" s="4">
        <f t="shared" si="10"/>
        <v>9.26987077987306</v>
      </c>
      <c r="Q49" s="4">
        <f t="shared" si="10"/>
        <v>8.044126028317</v>
      </c>
      <c r="R49" s="4">
        <f t="shared" si="10"/>
        <v>6.3905574382172</v>
      </c>
      <c r="S49" s="4">
        <f t="shared" si="9"/>
        <v>5.86323115694308</v>
      </c>
      <c r="T49" s="4">
        <f t="shared" si="9"/>
        <v>4.71697226078103</v>
      </c>
      <c r="U49" s="4">
        <f t="shared" si="9"/>
        <v>3.56180819063875</v>
      </c>
      <c r="V49" s="4">
        <f t="shared" si="9"/>
        <v>3.32875098761431</v>
      </c>
      <c r="W49" s="4">
        <f t="shared" si="9"/>
        <v>2.62553973069414</v>
      </c>
      <c r="X49" s="4">
        <f t="shared" si="9"/>
        <v>2.26869974065757</v>
      </c>
      <c r="Y49" s="4">
        <f t="shared" si="9"/>
        <v>1.89752631139424</v>
      </c>
      <c r="Z49" s="4">
        <f t="shared" si="9"/>
        <v>1.83952644156931</v>
      </c>
      <c r="AA49" s="4">
        <f t="shared" si="9"/>
        <v>1.66205780497118</v>
      </c>
      <c r="AB49" s="4">
        <f t="shared" si="9"/>
        <v>1.40291589642325</v>
      </c>
      <c r="AC49" s="4">
        <f t="shared" si="9"/>
        <v>1.1906706761529</v>
      </c>
      <c r="AD49" s="4">
        <f t="shared" si="9"/>
        <v>1.15556702878835</v>
      </c>
      <c r="AE49" s="4">
        <f t="shared" si="9"/>
        <v>1.01241019757293</v>
      </c>
      <c r="AF49" s="4">
        <f t="shared" si="9"/>
        <v>0.917217874016983</v>
      </c>
      <c r="AG49" s="4">
        <f t="shared" si="9"/>
        <v>0.845830448612938</v>
      </c>
      <c r="AH49" s="4">
        <f t="shared" si="8"/>
        <v>0.5783251575074</v>
      </c>
      <c r="AI49" s="4">
        <f t="shared" si="8"/>
        <v>0.42737358390183</v>
      </c>
      <c r="AJ49" s="4">
        <f t="shared" si="8"/>
        <v>0.355401965334779</v>
      </c>
    </row>
    <row r="50" spans="1:36">
      <c r="A50" t="str">
        <f>"post-semis_procurement_archetype_"&amp;TEXT(ROUND(Table2691617[[#This Row],[2016]],3),"0.0")</f>
        <v>post-semis_procurement_archetype_15.5</v>
      </c>
      <c r="B50" s="4">
        <f t="shared" si="2"/>
        <v>15.5</v>
      </c>
      <c r="C50" s="4">
        <f t="shared" si="10"/>
        <v>15.5</v>
      </c>
      <c r="D50" s="4">
        <f t="shared" si="10"/>
        <v>15.5</v>
      </c>
      <c r="E50" s="4">
        <f t="shared" si="10"/>
        <v>15.0939277058221</v>
      </c>
      <c r="F50" s="4">
        <f t="shared" si="10"/>
        <v>14.1122242520055</v>
      </c>
      <c r="G50" s="4">
        <f t="shared" si="10"/>
        <v>14.2494687944711</v>
      </c>
      <c r="H50" s="4">
        <f t="shared" si="10"/>
        <v>13.8233505401017</v>
      </c>
      <c r="I50" s="4">
        <f t="shared" si="10"/>
        <v>12.9990542099398</v>
      </c>
      <c r="J50" s="4">
        <f t="shared" si="10"/>
        <v>12.5360058983974</v>
      </c>
      <c r="K50" s="4">
        <f t="shared" si="10"/>
        <v>12.0606770172616</v>
      </c>
      <c r="L50" s="4">
        <f t="shared" si="10"/>
        <v>11.3098394199185</v>
      </c>
      <c r="M50" s="4">
        <f t="shared" si="10"/>
        <v>11.2187110762091</v>
      </c>
      <c r="N50" s="4">
        <f t="shared" si="10"/>
        <v>10.6034920171004</v>
      </c>
      <c r="O50" s="4">
        <f t="shared" si="10"/>
        <v>9.96556101162917</v>
      </c>
      <c r="P50" s="4">
        <f t="shared" si="10"/>
        <v>9.21139453278365</v>
      </c>
      <c r="Q50" s="4">
        <f t="shared" si="10"/>
        <v>7.99369029990029</v>
      </c>
      <c r="R50" s="4">
        <f t="shared" si="10"/>
        <v>6.35096862479517</v>
      </c>
      <c r="S50" s="4">
        <f t="shared" si="9"/>
        <v>5.82710144608364</v>
      </c>
      <c r="T50" s="4">
        <f t="shared" si="9"/>
        <v>4.68836166517511</v>
      </c>
      <c r="U50" s="4">
        <f t="shared" si="9"/>
        <v>3.5407751255621</v>
      </c>
      <c r="V50" s="4">
        <f t="shared" si="9"/>
        <v>3.30924670802938</v>
      </c>
      <c r="W50" s="4">
        <f t="shared" si="9"/>
        <v>2.61064830646506</v>
      </c>
      <c r="X50" s="4">
        <f t="shared" si="9"/>
        <v>2.25614907995158</v>
      </c>
      <c r="Y50" s="4">
        <f t="shared" si="9"/>
        <v>1.88741043728229</v>
      </c>
      <c r="Z50" s="4">
        <f t="shared" si="9"/>
        <v>1.82979102924253</v>
      </c>
      <c r="AA50" s="4">
        <f t="shared" si="9"/>
        <v>1.65348653377947</v>
      </c>
      <c r="AB50" s="4">
        <f t="shared" si="9"/>
        <v>1.39604451858366</v>
      </c>
      <c r="AC50" s="4">
        <f t="shared" si="9"/>
        <v>1.18519156342773</v>
      </c>
      <c r="AD50" s="4">
        <f t="shared" si="9"/>
        <v>1.15031818548246</v>
      </c>
      <c r="AE50" s="4">
        <f t="shared" si="9"/>
        <v>1.00810042022921</v>
      </c>
      <c r="AF50" s="4">
        <f t="shared" si="9"/>
        <v>0.913532529822242</v>
      </c>
      <c r="AG50" s="4">
        <f t="shared" si="9"/>
        <v>0.842613384560721</v>
      </c>
      <c r="AH50" s="4">
        <f t="shared" si="8"/>
        <v>0.576862848093497</v>
      </c>
      <c r="AI50" s="4">
        <f t="shared" si="8"/>
        <v>0.42690147162702</v>
      </c>
      <c r="AJ50" s="4">
        <f t="shared" si="8"/>
        <v>0.355401965334779</v>
      </c>
    </row>
    <row r="51" spans="1:36">
      <c r="A51" t="str">
        <f>"post-semis_procurement_archetype_"&amp;TEXT(ROUND(Table2691617[[#This Row],[2016]],3),"0.0")</f>
        <v>post-semis_procurement_archetype_15.4</v>
      </c>
      <c r="B51" s="4">
        <f t="shared" si="2"/>
        <v>15.4</v>
      </c>
      <c r="C51" s="4">
        <f t="shared" si="10"/>
        <v>15.4</v>
      </c>
      <c r="D51" s="4">
        <f t="shared" si="10"/>
        <v>15.4</v>
      </c>
      <c r="E51" s="4">
        <f t="shared" si="10"/>
        <v>14.9966090070574</v>
      </c>
      <c r="F51" s="4">
        <f t="shared" si="10"/>
        <v>14.0213877553538</v>
      </c>
      <c r="G51" s="4">
        <f t="shared" si="10"/>
        <v>14.1577260701193</v>
      </c>
      <c r="H51" s="4">
        <f t="shared" si="10"/>
        <v>13.7344214807504</v>
      </c>
      <c r="I51" s="4">
        <f t="shared" si="10"/>
        <v>12.915567991186</v>
      </c>
      <c r="J51" s="4">
        <f t="shared" si="10"/>
        <v>12.4555771943461</v>
      </c>
      <c r="K51" s="4">
        <f t="shared" si="10"/>
        <v>11.9833869166916</v>
      </c>
      <c r="L51" s="4">
        <f t="shared" si="10"/>
        <v>11.23750711087</v>
      </c>
      <c r="M51" s="4">
        <f t="shared" si="10"/>
        <v>11.146980488933</v>
      </c>
      <c r="N51" s="4">
        <f t="shared" si="10"/>
        <v>10.5358237301752</v>
      </c>
      <c r="O51" s="4">
        <f t="shared" si="10"/>
        <v>9.90210499236543</v>
      </c>
      <c r="P51" s="4">
        <f t="shared" si="10"/>
        <v>9.15291828569424</v>
      </c>
      <c r="Q51" s="4">
        <f t="shared" si="10"/>
        <v>7.94325457148359</v>
      </c>
      <c r="R51" s="4">
        <f t="shared" si="10"/>
        <v>6.31137981137314</v>
      </c>
      <c r="S51" s="4">
        <f t="shared" si="9"/>
        <v>5.7909717352242</v>
      </c>
      <c r="T51" s="4">
        <f t="shared" si="9"/>
        <v>4.65975106956919</v>
      </c>
      <c r="U51" s="4">
        <f t="shared" si="9"/>
        <v>3.51974206048546</v>
      </c>
      <c r="V51" s="4">
        <f t="shared" si="9"/>
        <v>3.28974242844446</v>
      </c>
      <c r="W51" s="4">
        <f t="shared" si="9"/>
        <v>2.59575688223599</v>
      </c>
      <c r="X51" s="4">
        <f t="shared" si="9"/>
        <v>2.2435984192456</v>
      </c>
      <c r="Y51" s="4">
        <f t="shared" si="9"/>
        <v>1.87729456317034</v>
      </c>
      <c r="Z51" s="4">
        <f t="shared" si="9"/>
        <v>1.82005561691575</v>
      </c>
      <c r="AA51" s="4">
        <f t="shared" si="9"/>
        <v>1.64491526258777</v>
      </c>
      <c r="AB51" s="4">
        <f t="shared" si="9"/>
        <v>1.38917314074407</v>
      </c>
      <c r="AC51" s="4">
        <f t="shared" si="9"/>
        <v>1.17971245070256</v>
      </c>
      <c r="AD51" s="4">
        <f t="shared" si="9"/>
        <v>1.14506934217656</v>
      </c>
      <c r="AE51" s="4">
        <f t="shared" si="9"/>
        <v>1.0037906428855</v>
      </c>
      <c r="AF51" s="4">
        <f t="shared" si="9"/>
        <v>0.9098471856275</v>
      </c>
      <c r="AG51" s="4">
        <f t="shared" si="9"/>
        <v>0.839396320508504</v>
      </c>
      <c r="AH51" s="4">
        <f t="shared" si="8"/>
        <v>0.575400538679594</v>
      </c>
      <c r="AI51" s="4">
        <f t="shared" si="8"/>
        <v>0.42642935935221</v>
      </c>
      <c r="AJ51" s="4">
        <f t="shared" si="8"/>
        <v>0.355401965334779</v>
      </c>
    </row>
    <row r="52" spans="1:36">
      <c r="A52" t="str">
        <f>"post-semis_procurement_archetype_"&amp;TEXT(ROUND(Table2691617[[#This Row],[2016]],3),"0.0")</f>
        <v>post-semis_procurement_archetype_15.3</v>
      </c>
      <c r="B52" s="4">
        <f t="shared" si="2"/>
        <v>15.3</v>
      </c>
      <c r="C52" s="4">
        <f t="shared" si="10"/>
        <v>15.3</v>
      </c>
      <c r="D52" s="4">
        <f t="shared" si="10"/>
        <v>15.3</v>
      </c>
      <c r="E52" s="4">
        <f t="shared" si="10"/>
        <v>14.8992903082926</v>
      </c>
      <c r="F52" s="4">
        <f t="shared" si="10"/>
        <v>13.9305512587022</v>
      </c>
      <c r="G52" s="4">
        <f t="shared" si="10"/>
        <v>14.0659833457674</v>
      </c>
      <c r="H52" s="4">
        <f t="shared" si="10"/>
        <v>13.645492421399</v>
      </c>
      <c r="I52" s="4">
        <f t="shared" si="10"/>
        <v>12.8320817724322</v>
      </c>
      <c r="J52" s="4">
        <f t="shared" si="10"/>
        <v>12.3751484902947</v>
      </c>
      <c r="K52" s="4">
        <f t="shared" si="10"/>
        <v>11.9060968161215</v>
      </c>
      <c r="L52" s="4">
        <f t="shared" si="10"/>
        <v>11.1651748018215</v>
      </c>
      <c r="M52" s="4">
        <f t="shared" si="10"/>
        <v>11.0752499016568</v>
      </c>
      <c r="N52" s="4">
        <f t="shared" si="10"/>
        <v>10.46815544325</v>
      </c>
      <c r="O52" s="4">
        <f t="shared" si="10"/>
        <v>9.83864897310168</v>
      </c>
      <c r="P52" s="4">
        <f t="shared" si="10"/>
        <v>9.09444203860483</v>
      </c>
      <c r="Q52" s="4">
        <f t="shared" si="10"/>
        <v>7.89281884306688</v>
      </c>
      <c r="R52" s="4">
        <f t="shared" si="10"/>
        <v>6.2717909979511</v>
      </c>
      <c r="S52" s="4">
        <f t="shared" si="9"/>
        <v>5.75484202436476</v>
      </c>
      <c r="T52" s="4">
        <f t="shared" si="9"/>
        <v>4.63114047396327</v>
      </c>
      <c r="U52" s="4">
        <f t="shared" si="9"/>
        <v>3.49870899540881</v>
      </c>
      <c r="V52" s="4">
        <f t="shared" si="9"/>
        <v>3.27023814885953</v>
      </c>
      <c r="W52" s="4">
        <f t="shared" si="9"/>
        <v>2.58086545800691</v>
      </c>
      <c r="X52" s="4">
        <f t="shared" si="9"/>
        <v>2.23104775853961</v>
      </c>
      <c r="Y52" s="4">
        <f t="shared" si="9"/>
        <v>1.8671786890584</v>
      </c>
      <c r="Z52" s="4">
        <f t="shared" si="9"/>
        <v>1.81032020458897</v>
      </c>
      <c r="AA52" s="4">
        <f t="shared" si="9"/>
        <v>1.63634399139607</v>
      </c>
      <c r="AB52" s="4">
        <f t="shared" si="9"/>
        <v>1.38230176290448</v>
      </c>
      <c r="AC52" s="4">
        <f t="shared" si="9"/>
        <v>1.1742333379774</v>
      </c>
      <c r="AD52" s="4">
        <f t="shared" si="9"/>
        <v>1.13982049887066</v>
      </c>
      <c r="AE52" s="4">
        <f t="shared" si="9"/>
        <v>0.999480865541787</v>
      </c>
      <c r="AF52" s="4">
        <f t="shared" si="9"/>
        <v>0.906161841432759</v>
      </c>
      <c r="AG52" s="4">
        <f t="shared" si="9"/>
        <v>0.836179256456287</v>
      </c>
      <c r="AH52" s="4">
        <f t="shared" si="8"/>
        <v>0.57393822926569</v>
      </c>
      <c r="AI52" s="4">
        <f t="shared" si="8"/>
        <v>0.425957247077401</v>
      </c>
      <c r="AJ52" s="4">
        <f t="shared" si="8"/>
        <v>0.355401965334779</v>
      </c>
    </row>
    <row r="53" spans="1:36">
      <c r="A53" t="str">
        <f>"post-semis_procurement_archetype_"&amp;TEXT(ROUND(Table2691617[[#This Row],[2016]],3),"0.0")</f>
        <v>post-semis_procurement_archetype_15.2</v>
      </c>
      <c r="B53" s="4">
        <f t="shared" si="2"/>
        <v>15.2</v>
      </c>
      <c r="C53" s="4">
        <f t="shared" si="10"/>
        <v>15.2</v>
      </c>
      <c r="D53" s="4">
        <f t="shared" si="10"/>
        <v>15.2</v>
      </c>
      <c r="E53" s="4">
        <f t="shared" si="10"/>
        <v>14.8019716095279</v>
      </c>
      <c r="F53" s="4">
        <f t="shared" si="10"/>
        <v>13.8397147620505</v>
      </c>
      <c r="G53" s="4">
        <f t="shared" si="10"/>
        <v>13.9742406214156</v>
      </c>
      <c r="H53" s="4">
        <f t="shared" si="10"/>
        <v>13.5565633620477</v>
      </c>
      <c r="I53" s="4">
        <f t="shared" si="10"/>
        <v>12.7485955536784</v>
      </c>
      <c r="J53" s="4">
        <f t="shared" si="10"/>
        <v>12.2947197862434</v>
      </c>
      <c r="K53" s="4">
        <f t="shared" si="10"/>
        <v>11.8288067155514</v>
      </c>
      <c r="L53" s="4">
        <f t="shared" si="10"/>
        <v>11.092842492773</v>
      </c>
      <c r="M53" s="4">
        <f t="shared" si="10"/>
        <v>11.0035193143807</v>
      </c>
      <c r="N53" s="4">
        <f t="shared" si="10"/>
        <v>10.4004871563248</v>
      </c>
      <c r="O53" s="4">
        <f t="shared" si="10"/>
        <v>9.77519295383793</v>
      </c>
      <c r="P53" s="4">
        <f t="shared" si="10"/>
        <v>9.03596579151542</v>
      </c>
      <c r="Q53" s="4">
        <f t="shared" si="10"/>
        <v>7.84238311465018</v>
      </c>
      <c r="R53" s="4">
        <f t="shared" si="10"/>
        <v>6.23220218452907</v>
      </c>
      <c r="S53" s="4">
        <f t="shared" si="9"/>
        <v>5.71871231350532</v>
      </c>
      <c r="T53" s="4">
        <f t="shared" si="9"/>
        <v>4.60252987835735</v>
      </c>
      <c r="U53" s="4">
        <f t="shared" si="9"/>
        <v>3.47767593033217</v>
      </c>
      <c r="V53" s="4">
        <f t="shared" si="9"/>
        <v>3.2507338692746</v>
      </c>
      <c r="W53" s="4">
        <f t="shared" si="9"/>
        <v>2.56597403377784</v>
      </c>
      <c r="X53" s="4">
        <f t="shared" si="9"/>
        <v>2.21849709783362</v>
      </c>
      <c r="Y53" s="4">
        <f t="shared" si="9"/>
        <v>1.85706281494645</v>
      </c>
      <c r="Z53" s="4">
        <f t="shared" si="9"/>
        <v>1.80058479226219</v>
      </c>
      <c r="AA53" s="4">
        <f t="shared" si="9"/>
        <v>1.62777272020436</v>
      </c>
      <c r="AB53" s="4">
        <f t="shared" si="9"/>
        <v>1.37543038506489</v>
      </c>
      <c r="AC53" s="4">
        <f t="shared" si="9"/>
        <v>1.16875422525223</v>
      </c>
      <c r="AD53" s="4">
        <f t="shared" si="9"/>
        <v>1.13457165556476</v>
      </c>
      <c r="AE53" s="4">
        <f t="shared" si="9"/>
        <v>0.995171088198074</v>
      </c>
      <c r="AF53" s="4">
        <f t="shared" si="9"/>
        <v>0.902476497238017</v>
      </c>
      <c r="AG53" s="4">
        <f t="shared" si="9"/>
        <v>0.832962192404071</v>
      </c>
      <c r="AH53" s="4">
        <f t="shared" si="8"/>
        <v>0.572475919851787</v>
      </c>
      <c r="AI53" s="4">
        <f t="shared" si="8"/>
        <v>0.425485134802591</v>
      </c>
      <c r="AJ53" s="4">
        <f t="shared" si="8"/>
        <v>0.355401965334779</v>
      </c>
    </row>
    <row r="54" spans="1:36">
      <c r="A54" t="str">
        <f>"post-semis_procurement_archetype_"&amp;TEXT(ROUND(Table2691617[[#This Row],[2016]],3),"0.0")</f>
        <v>post-semis_procurement_archetype_15.1</v>
      </c>
      <c r="B54" s="4">
        <f t="shared" si="2"/>
        <v>15.1</v>
      </c>
      <c r="C54" s="4">
        <f t="shared" si="10"/>
        <v>15.1</v>
      </c>
      <c r="D54" s="4">
        <f t="shared" si="10"/>
        <v>15.1</v>
      </c>
      <c r="E54" s="4">
        <f t="shared" si="10"/>
        <v>14.7046529107631</v>
      </c>
      <c r="F54" s="4">
        <f t="shared" si="10"/>
        <v>13.7488782653988</v>
      </c>
      <c r="G54" s="4">
        <f t="shared" si="10"/>
        <v>13.8824978970638</v>
      </c>
      <c r="H54" s="4">
        <f t="shared" si="10"/>
        <v>13.4676343026964</v>
      </c>
      <c r="I54" s="4">
        <f t="shared" si="10"/>
        <v>12.6651093349246</v>
      </c>
      <c r="J54" s="4">
        <f t="shared" si="10"/>
        <v>12.2142910821921</v>
      </c>
      <c r="K54" s="4">
        <f t="shared" si="10"/>
        <v>11.7515166149813</v>
      </c>
      <c r="L54" s="4">
        <f t="shared" si="10"/>
        <v>11.0205101837246</v>
      </c>
      <c r="M54" s="4">
        <f t="shared" si="10"/>
        <v>10.9317887271046</v>
      </c>
      <c r="N54" s="4">
        <f t="shared" si="10"/>
        <v>10.3328188693996</v>
      </c>
      <c r="O54" s="4">
        <f t="shared" si="10"/>
        <v>9.71173693457418</v>
      </c>
      <c r="P54" s="4">
        <f t="shared" si="10"/>
        <v>8.97748954442601</v>
      </c>
      <c r="Q54" s="4">
        <f t="shared" si="10"/>
        <v>7.79194738623347</v>
      </c>
      <c r="R54" s="4">
        <f t="shared" si="10"/>
        <v>6.19261337110704</v>
      </c>
      <c r="S54" s="4">
        <f t="shared" si="9"/>
        <v>5.68258260264588</v>
      </c>
      <c r="T54" s="4">
        <f t="shared" si="9"/>
        <v>4.57391928275143</v>
      </c>
      <c r="U54" s="4">
        <f t="shared" si="9"/>
        <v>3.45664286525553</v>
      </c>
      <c r="V54" s="4">
        <f t="shared" si="9"/>
        <v>3.23122958968967</v>
      </c>
      <c r="W54" s="4">
        <f t="shared" si="9"/>
        <v>2.55108260954876</v>
      </c>
      <c r="X54" s="4">
        <f t="shared" si="9"/>
        <v>2.20594643712763</v>
      </c>
      <c r="Y54" s="4">
        <f t="shared" si="9"/>
        <v>1.8469469408345</v>
      </c>
      <c r="Z54" s="4">
        <f t="shared" si="9"/>
        <v>1.79084937993542</v>
      </c>
      <c r="AA54" s="4">
        <f t="shared" si="9"/>
        <v>1.61920144901266</v>
      </c>
      <c r="AB54" s="4">
        <f t="shared" si="9"/>
        <v>1.3685590072253</v>
      </c>
      <c r="AC54" s="4">
        <f t="shared" si="9"/>
        <v>1.16327511252706</v>
      </c>
      <c r="AD54" s="4">
        <f t="shared" si="9"/>
        <v>1.12932281225886</v>
      </c>
      <c r="AE54" s="4">
        <f t="shared" si="9"/>
        <v>0.990861310854361</v>
      </c>
      <c r="AF54" s="4">
        <f t="shared" si="9"/>
        <v>0.898791153043276</v>
      </c>
      <c r="AG54" s="4">
        <f t="shared" si="9"/>
        <v>0.829745128351854</v>
      </c>
      <c r="AH54" s="4">
        <f t="shared" si="8"/>
        <v>0.571013610437884</v>
      </c>
      <c r="AI54" s="4">
        <f t="shared" si="8"/>
        <v>0.425013022527781</v>
      </c>
      <c r="AJ54" s="4">
        <f t="shared" si="8"/>
        <v>0.355401965334779</v>
      </c>
    </row>
    <row r="55" spans="1:36">
      <c r="A55" t="str">
        <f>"post-semis_procurement_archetype_"&amp;TEXT(ROUND(Table2691617[[#This Row],[2016]],3),"0.0")</f>
        <v>post-semis_procurement_archetype_15.0</v>
      </c>
      <c r="B55" s="4">
        <f t="shared" si="2"/>
        <v>15</v>
      </c>
      <c r="C55" s="4">
        <f t="shared" si="10"/>
        <v>15</v>
      </c>
      <c r="D55" s="4">
        <f t="shared" si="10"/>
        <v>15</v>
      </c>
      <c r="E55" s="4">
        <f t="shared" si="10"/>
        <v>14.6073342119984</v>
      </c>
      <c r="F55" s="4">
        <f t="shared" si="10"/>
        <v>13.6580417687471</v>
      </c>
      <c r="G55" s="4">
        <f t="shared" si="10"/>
        <v>13.7907551727119</v>
      </c>
      <c r="H55" s="4">
        <f t="shared" si="10"/>
        <v>13.3787052433451</v>
      </c>
      <c r="I55" s="4">
        <f t="shared" si="10"/>
        <v>12.5816231161708</v>
      </c>
      <c r="J55" s="4">
        <f t="shared" si="10"/>
        <v>12.1338623781408</v>
      </c>
      <c r="K55" s="4">
        <f t="shared" si="10"/>
        <v>11.6742265144112</v>
      </c>
      <c r="L55" s="4">
        <f t="shared" si="10"/>
        <v>10.9481778746761</v>
      </c>
      <c r="M55" s="4">
        <f t="shared" si="10"/>
        <v>10.8600581398284</v>
      </c>
      <c r="N55" s="4">
        <f t="shared" si="10"/>
        <v>10.2651505824744</v>
      </c>
      <c r="O55" s="4">
        <f t="shared" si="10"/>
        <v>9.64828091531043</v>
      </c>
      <c r="P55" s="4">
        <f t="shared" si="10"/>
        <v>8.9190132973366</v>
      </c>
      <c r="Q55" s="4">
        <f t="shared" si="10"/>
        <v>7.74151165781676</v>
      </c>
      <c r="R55" s="4">
        <f t="shared" si="10"/>
        <v>6.15302455768501</v>
      </c>
      <c r="S55" s="4">
        <f t="shared" si="9"/>
        <v>5.64645289178644</v>
      </c>
      <c r="T55" s="4">
        <f t="shared" si="9"/>
        <v>4.54530868714551</v>
      </c>
      <c r="U55" s="4">
        <f t="shared" si="9"/>
        <v>3.43560980017888</v>
      </c>
      <c r="V55" s="4">
        <f t="shared" si="9"/>
        <v>3.21172531010474</v>
      </c>
      <c r="W55" s="4">
        <f t="shared" si="9"/>
        <v>2.53619118531968</v>
      </c>
      <c r="X55" s="4">
        <f t="shared" si="9"/>
        <v>2.19339577642164</v>
      </c>
      <c r="Y55" s="4">
        <f t="shared" si="9"/>
        <v>1.83683106672255</v>
      </c>
      <c r="Z55" s="4">
        <f t="shared" si="9"/>
        <v>1.78111396760864</v>
      </c>
      <c r="AA55" s="4">
        <f t="shared" si="9"/>
        <v>1.61063017782095</v>
      </c>
      <c r="AB55" s="4">
        <f t="shared" si="9"/>
        <v>1.36168762938571</v>
      </c>
      <c r="AC55" s="4">
        <f t="shared" si="9"/>
        <v>1.15779599980189</v>
      </c>
      <c r="AD55" s="4">
        <f t="shared" si="9"/>
        <v>1.12407396895297</v>
      </c>
      <c r="AE55" s="4">
        <f t="shared" si="9"/>
        <v>0.986551533510648</v>
      </c>
      <c r="AF55" s="4">
        <f t="shared" si="9"/>
        <v>0.895105808848535</v>
      </c>
      <c r="AG55" s="4">
        <f t="shared" si="9"/>
        <v>0.826528064299637</v>
      </c>
      <c r="AH55" s="4">
        <f t="shared" si="8"/>
        <v>0.56955130102398</v>
      </c>
      <c r="AI55" s="4">
        <f t="shared" si="8"/>
        <v>0.424540910252972</v>
      </c>
      <c r="AJ55" s="4">
        <f t="shared" si="8"/>
        <v>0.355401965334779</v>
      </c>
    </row>
    <row r="56" spans="1:36">
      <c r="A56" t="str">
        <f>"post-semis_procurement_archetype_"&amp;TEXT(ROUND(Table2691617[[#This Row],[2016]],3),"0.0")</f>
        <v>post-semis_procurement_archetype_14.9</v>
      </c>
      <c r="B56" s="4">
        <f t="shared" si="2"/>
        <v>14.9</v>
      </c>
      <c r="C56" s="4">
        <f t="shared" si="10"/>
        <v>14.9</v>
      </c>
      <c r="D56" s="4">
        <f t="shared" si="10"/>
        <v>14.9</v>
      </c>
      <c r="E56" s="4">
        <f t="shared" si="10"/>
        <v>14.5100155132336</v>
      </c>
      <c r="F56" s="4">
        <f t="shared" si="10"/>
        <v>13.5672052720954</v>
      </c>
      <c r="G56" s="4">
        <f t="shared" si="10"/>
        <v>13.6990124483601</v>
      </c>
      <c r="H56" s="4">
        <f t="shared" si="10"/>
        <v>13.2897761839937</v>
      </c>
      <c r="I56" s="4">
        <f t="shared" si="10"/>
        <v>12.498136897417</v>
      </c>
      <c r="J56" s="4">
        <f t="shared" si="10"/>
        <v>12.0534336740895</v>
      </c>
      <c r="K56" s="4">
        <f t="shared" si="10"/>
        <v>11.5969364138412</v>
      </c>
      <c r="L56" s="4">
        <f t="shared" si="10"/>
        <v>10.8758455656276</v>
      </c>
      <c r="M56" s="4">
        <f t="shared" si="10"/>
        <v>10.7883275525523</v>
      </c>
      <c r="N56" s="4">
        <f t="shared" si="10"/>
        <v>10.1974822955492</v>
      </c>
      <c r="O56" s="4">
        <f t="shared" si="10"/>
        <v>9.58482489604669</v>
      </c>
      <c r="P56" s="4">
        <f t="shared" si="10"/>
        <v>8.86053705024719</v>
      </c>
      <c r="Q56" s="4">
        <f t="shared" si="10"/>
        <v>7.69107592940006</v>
      </c>
      <c r="R56" s="4">
        <f t="shared" si="10"/>
        <v>6.11343574426297</v>
      </c>
      <c r="S56" s="4">
        <f t="shared" si="9"/>
        <v>5.61032318092701</v>
      </c>
      <c r="T56" s="4">
        <f t="shared" si="9"/>
        <v>4.51669809153958</v>
      </c>
      <c r="U56" s="4">
        <f t="shared" si="9"/>
        <v>3.41457673510224</v>
      </c>
      <c r="V56" s="4">
        <f t="shared" si="9"/>
        <v>3.19222103051982</v>
      </c>
      <c r="W56" s="4">
        <f t="shared" si="9"/>
        <v>2.52129976109061</v>
      </c>
      <c r="X56" s="4">
        <f t="shared" si="9"/>
        <v>2.18084511571565</v>
      </c>
      <c r="Y56" s="4">
        <f t="shared" si="9"/>
        <v>1.8267151926106</v>
      </c>
      <c r="Z56" s="4">
        <f t="shared" si="9"/>
        <v>1.77137855528186</v>
      </c>
      <c r="AA56" s="4">
        <f t="shared" si="9"/>
        <v>1.60205890662925</v>
      </c>
      <c r="AB56" s="4">
        <f t="shared" si="9"/>
        <v>1.35481625154612</v>
      </c>
      <c r="AC56" s="4">
        <f t="shared" si="9"/>
        <v>1.15231688707672</v>
      </c>
      <c r="AD56" s="4">
        <f t="shared" si="9"/>
        <v>1.11882512564707</v>
      </c>
      <c r="AE56" s="4">
        <f t="shared" si="9"/>
        <v>0.982241756166935</v>
      </c>
      <c r="AF56" s="4">
        <f t="shared" si="9"/>
        <v>0.891420464653793</v>
      </c>
      <c r="AG56" s="4">
        <f t="shared" si="9"/>
        <v>0.82331100024742</v>
      </c>
      <c r="AH56" s="4">
        <f t="shared" si="8"/>
        <v>0.568088991610077</v>
      </c>
      <c r="AI56" s="4">
        <f t="shared" si="8"/>
        <v>0.424068797978162</v>
      </c>
      <c r="AJ56" s="4">
        <f t="shared" si="8"/>
        <v>0.355401965334779</v>
      </c>
    </row>
    <row r="57" spans="1:36">
      <c r="A57" t="str">
        <f>"post-semis_procurement_archetype_"&amp;TEXT(ROUND(Table2691617[[#This Row],[2016]],3),"0.0")</f>
        <v>post-semis_procurement_archetype_14.8</v>
      </c>
      <c r="B57" s="4">
        <f t="shared" si="2"/>
        <v>14.8</v>
      </c>
      <c r="C57" s="4">
        <f t="shared" si="10"/>
        <v>14.8</v>
      </c>
      <c r="D57" s="4">
        <f t="shared" si="10"/>
        <v>14.8</v>
      </c>
      <c r="E57" s="4">
        <f t="shared" si="10"/>
        <v>14.4126968144689</v>
      </c>
      <c r="F57" s="4">
        <f t="shared" si="10"/>
        <v>13.4763687754437</v>
      </c>
      <c r="G57" s="4">
        <f t="shared" si="10"/>
        <v>13.6072697240083</v>
      </c>
      <c r="H57" s="4">
        <f t="shared" si="10"/>
        <v>13.2008471246424</v>
      </c>
      <c r="I57" s="4">
        <f t="shared" si="10"/>
        <v>12.4146506786632</v>
      </c>
      <c r="J57" s="4">
        <f t="shared" si="10"/>
        <v>11.9730049700382</v>
      </c>
      <c r="K57" s="4">
        <f t="shared" si="10"/>
        <v>11.5196463132711</v>
      </c>
      <c r="L57" s="4">
        <f t="shared" si="10"/>
        <v>10.8035132565791</v>
      </c>
      <c r="M57" s="4">
        <f t="shared" si="10"/>
        <v>10.7165969652762</v>
      </c>
      <c r="N57" s="4">
        <f t="shared" si="10"/>
        <v>10.129814008624</v>
      </c>
      <c r="O57" s="4">
        <f t="shared" si="10"/>
        <v>9.52136887678294</v>
      </c>
      <c r="P57" s="4">
        <f t="shared" si="10"/>
        <v>8.80206080315778</v>
      </c>
      <c r="Q57" s="4">
        <f t="shared" si="10"/>
        <v>7.64064020098335</v>
      </c>
      <c r="R57" s="4">
        <f t="shared" si="10"/>
        <v>6.07384693084094</v>
      </c>
      <c r="S57" s="4">
        <f t="shared" si="9"/>
        <v>5.57419347006757</v>
      </c>
      <c r="T57" s="4">
        <f t="shared" si="9"/>
        <v>4.48808749593366</v>
      </c>
      <c r="U57" s="4">
        <f t="shared" si="9"/>
        <v>3.39354367002559</v>
      </c>
      <c r="V57" s="4">
        <f t="shared" si="9"/>
        <v>3.17271675093489</v>
      </c>
      <c r="W57" s="4">
        <f t="shared" si="9"/>
        <v>2.50640833686153</v>
      </c>
      <c r="X57" s="4">
        <f t="shared" si="9"/>
        <v>2.16829445500966</v>
      </c>
      <c r="Y57" s="4">
        <f t="shared" si="9"/>
        <v>1.81659931849865</v>
      </c>
      <c r="Z57" s="4">
        <f t="shared" si="9"/>
        <v>1.76164314295508</v>
      </c>
      <c r="AA57" s="4">
        <f t="shared" si="9"/>
        <v>1.59348763543754</v>
      </c>
      <c r="AB57" s="4">
        <f t="shared" si="9"/>
        <v>1.34794487370653</v>
      </c>
      <c r="AC57" s="4">
        <f t="shared" si="9"/>
        <v>1.14683777435155</v>
      </c>
      <c r="AD57" s="4">
        <f t="shared" si="9"/>
        <v>1.11357628234117</v>
      </c>
      <c r="AE57" s="4">
        <f t="shared" si="9"/>
        <v>0.977931978823221</v>
      </c>
      <c r="AF57" s="4">
        <f t="shared" si="9"/>
        <v>0.887735120459052</v>
      </c>
      <c r="AG57" s="4">
        <f t="shared" si="9"/>
        <v>0.820093936195204</v>
      </c>
      <c r="AH57" s="4">
        <f t="shared" si="8"/>
        <v>0.566626682196174</v>
      </c>
      <c r="AI57" s="4">
        <f t="shared" si="8"/>
        <v>0.423596685703352</v>
      </c>
      <c r="AJ57" s="4">
        <f t="shared" si="8"/>
        <v>0.355401965334779</v>
      </c>
    </row>
    <row r="58" spans="1:36">
      <c r="A58" t="str">
        <f>"post-semis_procurement_archetype_"&amp;TEXT(ROUND(Table2691617[[#This Row],[2016]],3),"0.0")</f>
        <v>post-semis_procurement_archetype_14.7</v>
      </c>
      <c r="B58" s="4">
        <f t="shared" si="2"/>
        <v>14.7</v>
      </c>
      <c r="C58" s="4">
        <f t="shared" si="10"/>
        <v>14.7</v>
      </c>
      <c r="D58" s="4">
        <f t="shared" si="10"/>
        <v>14.7</v>
      </c>
      <c r="E58" s="4">
        <f t="shared" si="10"/>
        <v>14.3153781157042</v>
      </c>
      <c r="F58" s="4">
        <f t="shared" si="10"/>
        <v>13.385532278792</v>
      </c>
      <c r="G58" s="4">
        <f t="shared" si="10"/>
        <v>13.5155269996564</v>
      </c>
      <c r="H58" s="4">
        <f t="shared" si="10"/>
        <v>13.1119180652911</v>
      </c>
      <c r="I58" s="4">
        <f t="shared" si="10"/>
        <v>12.3311644599094</v>
      </c>
      <c r="J58" s="4">
        <f t="shared" si="10"/>
        <v>11.8925762659868</v>
      </c>
      <c r="K58" s="4">
        <f t="shared" si="10"/>
        <v>11.442356212701</v>
      </c>
      <c r="L58" s="4">
        <f t="shared" si="10"/>
        <v>10.7311809475306</v>
      </c>
      <c r="M58" s="4">
        <f t="shared" si="10"/>
        <v>10.6448663780001</v>
      </c>
      <c r="N58" s="4">
        <f t="shared" si="10"/>
        <v>10.0621457216988</v>
      </c>
      <c r="O58" s="4">
        <f t="shared" si="10"/>
        <v>9.45791285751919</v>
      </c>
      <c r="P58" s="4">
        <f t="shared" si="10"/>
        <v>8.74358455606837</v>
      </c>
      <c r="Q58" s="4">
        <f t="shared" si="10"/>
        <v>7.59020447256665</v>
      </c>
      <c r="R58" s="4">
        <f t="shared" si="10"/>
        <v>6.03425811741891</v>
      </c>
      <c r="S58" s="4">
        <f t="shared" si="9"/>
        <v>5.53806375920813</v>
      </c>
      <c r="T58" s="4">
        <f t="shared" si="9"/>
        <v>4.45947690032774</v>
      </c>
      <c r="U58" s="4">
        <f t="shared" si="9"/>
        <v>3.37251060494895</v>
      </c>
      <c r="V58" s="4">
        <f t="shared" si="9"/>
        <v>3.15321247134996</v>
      </c>
      <c r="W58" s="4">
        <f t="shared" si="9"/>
        <v>2.49151691263246</v>
      </c>
      <c r="X58" s="4">
        <f t="shared" si="9"/>
        <v>2.15574379430367</v>
      </c>
      <c r="Y58" s="4">
        <f t="shared" si="9"/>
        <v>1.8064834443867</v>
      </c>
      <c r="Z58" s="4">
        <f t="shared" si="9"/>
        <v>1.75190773062831</v>
      </c>
      <c r="AA58" s="4">
        <f t="shared" si="9"/>
        <v>1.58491636424584</v>
      </c>
      <c r="AB58" s="4">
        <f t="shared" si="9"/>
        <v>1.34107349586694</v>
      </c>
      <c r="AC58" s="4">
        <f t="shared" si="9"/>
        <v>1.14135866162638</v>
      </c>
      <c r="AD58" s="4">
        <f t="shared" si="9"/>
        <v>1.10832743903527</v>
      </c>
      <c r="AE58" s="4">
        <f t="shared" si="9"/>
        <v>0.973622201479508</v>
      </c>
      <c r="AF58" s="4">
        <f t="shared" si="9"/>
        <v>0.88404977626431</v>
      </c>
      <c r="AG58" s="4">
        <f t="shared" si="9"/>
        <v>0.816876872142987</v>
      </c>
      <c r="AH58" s="4">
        <f t="shared" si="8"/>
        <v>0.565164372782271</v>
      </c>
      <c r="AI58" s="4">
        <f t="shared" si="8"/>
        <v>0.423124573428543</v>
      </c>
      <c r="AJ58" s="4">
        <f t="shared" si="8"/>
        <v>0.355401965334779</v>
      </c>
    </row>
    <row r="59" spans="1:36">
      <c r="A59" t="str">
        <f>"post-semis_procurement_archetype_"&amp;TEXT(ROUND(Table2691617[[#This Row],[2016]],3),"0.0")</f>
        <v>post-semis_procurement_archetype_14.6</v>
      </c>
      <c r="B59" s="4">
        <f t="shared" si="2"/>
        <v>14.6</v>
      </c>
      <c r="C59" s="4">
        <f t="shared" si="10"/>
        <v>14.6</v>
      </c>
      <c r="D59" s="4">
        <f t="shared" si="10"/>
        <v>14.6</v>
      </c>
      <c r="E59" s="4">
        <f t="shared" si="10"/>
        <v>14.2180594169394</v>
      </c>
      <c r="F59" s="4">
        <f t="shared" si="10"/>
        <v>13.2946957821403</v>
      </c>
      <c r="G59" s="4">
        <f t="shared" si="10"/>
        <v>13.4237842753046</v>
      </c>
      <c r="H59" s="4">
        <f t="shared" si="10"/>
        <v>13.0229890059398</v>
      </c>
      <c r="I59" s="4">
        <f t="shared" si="10"/>
        <v>12.2476782411556</v>
      </c>
      <c r="J59" s="4">
        <f t="shared" si="10"/>
        <v>11.8121475619355</v>
      </c>
      <c r="K59" s="4">
        <f t="shared" si="10"/>
        <v>11.3650661121309</v>
      </c>
      <c r="L59" s="4">
        <f t="shared" si="10"/>
        <v>10.6588486384822</v>
      </c>
      <c r="M59" s="4">
        <f t="shared" si="10"/>
        <v>10.5731357907239</v>
      </c>
      <c r="N59" s="4">
        <f t="shared" si="10"/>
        <v>9.99447743477357</v>
      </c>
      <c r="O59" s="4">
        <f t="shared" si="10"/>
        <v>9.39445683825544</v>
      </c>
      <c r="P59" s="4">
        <f t="shared" si="10"/>
        <v>8.68510830897896</v>
      </c>
      <c r="Q59" s="4">
        <f t="shared" si="10"/>
        <v>7.53976874414994</v>
      </c>
      <c r="R59" s="4">
        <f t="shared" si="10"/>
        <v>5.99466930399688</v>
      </c>
      <c r="S59" s="4">
        <f t="shared" si="9"/>
        <v>5.50193404834869</v>
      </c>
      <c r="T59" s="4">
        <f t="shared" si="9"/>
        <v>4.43086630472182</v>
      </c>
      <c r="U59" s="4">
        <f t="shared" si="9"/>
        <v>3.3514775398723</v>
      </c>
      <c r="V59" s="4">
        <f t="shared" si="9"/>
        <v>3.13370819176503</v>
      </c>
      <c r="W59" s="4">
        <f t="shared" si="9"/>
        <v>2.47662548840338</v>
      </c>
      <c r="X59" s="4">
        <f t="shared" si="9"/>
        <v>2.14319313359768</v>
      </c>
      <c r="Y59" s="4">
        <f t="shared" si="9"/>
        <v>1.79636757027475</v>
      </c>
      <c r="Z59" s="4">
        <f t="shared" si="9"/>
        <v>1.74217231830153</v>
      </c>
      <c r="AA59" s="4">
        <f t="shared" si="9"/>
        <v>1.57634509305413</v>
      </c>
      <c r="AB59" s="4">
        <f t="shared" si="9"/>
        <v>1.33420211802735</v>
      </c>
      <c r="AC59" s="4">
        <f t="shared" si="9"/>
        <v>1.13587954890122</v>
      </c>
      <c r="AD59" s="4">
        <f t="shared" si="9"/>
        <v>1.10307859572937</v>
      </c>
      <c r="AE59" s="4">
        <f t="shared" si="9"/>
        <v>0.969312424135795</v>
      </c>
      <c r="AF59" s="4">
        <f t="shared" si="9"/>
        <v>0.880364432069569</v>
      </c>
      <c r="AG59" s="4">
        <f t="shared" si="9"/>
        <v>0.81365980809077</v>
      </c>
      <c r="AH59" s="4">
        <f t="shared" si="8"/>
        <v>0.563702063368367</v>
      </c>
      <c r="AI59" s="4">
        <f t="shared" si="8"/>
        <v>0.422652461153733</v>
      </c>
      <c r="AJ59" s="4">
        <f t="shared" si="8"/>
        <v>0.355401965334779</v>
      </c>
    </row>
    <row r="60" spans="1:36">
      <c r="A60" t="str">
        <f>"post-semis_procurement_archetype_"&amp;TEXT(ROUND(Table2691617[[#This Row],[2016]],3),"0.0")</f>
        <v>post-semis_procurement_archetype_14.5</v>
      </c>
      <c r="B60" s="4">
        <f t="shared" si="2"/>
        <v>14.5</v>
      </c>
      <c r="C60" s="4">
        <f t="shared" si="10"/>
        <v>14.5</v>
      </c>
      <c r="D60" s="4">
        <f t="shared" si="10"/>
        <v>14.5</v>
      </c>
      <c r="E60" s="4">
        <f t="shared" si="10"/>
        <v>14.1207407181747</v>
      </c>
      <c r="F60" s="4">
        <f t="shared" si="10"/>
        <v>13.2038592854886</v>
      </c>
      <c r="G60" s="4">
        <f t="shared" si="10"/>
        <v>13.3320415509528</v>
      </c>
      <c r="H60" s="4">
        <f t="shared" si="10"/>
        <v>12.9340599465884</v>
      </c>
      <c r="I60" s="4">
        <f t="shared" si="10"/>
        <v>12.1641920224018</v>
      </c>
      <c r="J60" s="4">
        <f t="shared" si="10"/>
        <v>11.7317188578842</v>
      </c>
      <c r="K60" s="4">
        <f t="shared" si="10"/>
        <v>11.2877760115609</v>
      </c>
      <c r="L60" s="4">
        <f t="shared" si="10"/>
        <v>10.5865163294337</v>
      </c>
      <c r="M60" s="4">
        <f t="shared" si="10"/>
        <v>10.5014052034478</v>
      </c>
      <c r="N60" s="4">
        <f t="shared" si="10"/>
        <v>9.92680914784836</v>
      </c>
      <c r="O60" s="4">
        <f t="shared" si="10"/>
        <v>9.33100081899169</v>
      </c>
      <c r="P60" s="4">
        <f t="shared" si="10"/>
        <v>8.62663206188955</v>
      </c>
      <c r="Q60" s="4">
        <f t="shared" si="10"/>
        <v>7.48933301573324</v>
      </c>
      <c r="R60" s="4">
        <f t="shared" ref="R60:AG75" si="11">(($B60-$AJ$2)*((R$2-$AJ$2)/($B$2-$AJ$2)))+$AJ$2</f>
        <v>5.95508049057484</v>
      </c>
      <c r="S60" s="4">
        <f t="shared" si="11"/>
        <v>5.46580433748925</v>
      </c>
      <c r="T60" s="4">
        <f t="shared" si="11"/>
        <v>4.4022557091159</v>
      </c>
      <c r="U60" s="4">
        <f t="shared" si="11"/>
        <v>3.33044447479566</v>
      </c>
      <c r="V60" s="4">
        <f t="shared" si="11"/>
        <v>3.1142039121801</v>
      </c>
      <c r="W60" s="4">
        <f t="shared" si="11"/>
        <v>2.4617340641743</v>
      </c>
      <c r="X60" s="4">
        <f t="shared" si="11"/>
        <v>2.13064247289169</v>
      </c>
      <c r="Y60" s="4">
        <f t="shared" si="11"/>
        <v>1.7862516961628</v>
      </c>
      <c r="Z60" s="4">
        <f t="shared" si="11"/>
        <v>1.73243690597475</v>
      </c>
      <c r="AA60" s="4">
        <f t="shared" si="11"/>
        <v>1.56777382186243</v>
      </c>
      <c r="AB60" s="4">
        <f t="shared" si="11"/>
        <v>1.32733074018776</v>
      </c>
      <c r="AC60" s="4">
        <f t="shared" si="11"/>
        <v>1.13040043617605</v>
      </c>
      <c r="AD60" s="4">
        <f t="shared" si="11"/>
        <v>1.09782975242348</v>
      </c>
      <c r="AE60" s="4">
        <f t="shared" si="11"/>
        <v>0.965002646792082</v>
      </c>
      <c r="AF60" s="4">
        <f t="shared" si="11"/>
        <v>0.876679087874827</v>
      </c>
      <c r="AG60" s="4">
        <f t="shared" si="11"/>
        <v>0.810442744038553</v>
      </c>
      <c r="AH60" s="4">
        <f t="shared" si="8"/>
        <v>0.562239753954464</v>
      </c>
      <c r="AI60" s="4">
        <f t="shared" si="8"/>
        <v>0.422180348878923</v>
      </c>
      <c r="AJ60" s="4">
        <f t="shared" si="8"/>
        <v>0.355401965334779</v>
      </c>
    </row>
    <row r="61" spans="1:36">
      <c r="A61" t="str">
        <f>"post-semis_procurement_archetype_"&amp;TEXT(ROUND(Table2691617[[#This Row],[2016]],3),"0.0")</f>
        <v>post-semis_procurement_archetype_14.4</v>
      </c>
      <c r="B61" s="4">
        <f t="shared" si="2"/>
        <v>14.4</v>
      </c>
      <c r="C61" s="4">
        <f t="shared" ref="C61:R76" si="12">(($B61-$AJ$2)*((C$2-$AJ$2)/($B$2-$AJ$2)))+$AJ$2</f>
        <v>14.4</v>
      </c>
      <c r="D61" s="4">
        <f t="shared" si="12"/>
        <v>14.4</v>
      </c>
      <c r="E61" s="4">
        <f t="shared" si="12"/>
        <v>14.0234220194099</v>
      </c>
      <c r="F61" s="4">
        <f t="shared" si="12"/>
        <v>13.1130227888369</v>
      </c>
      <c r="G61" s="4">
        <f t="shared" si="12"/>
        <v>13.2402988266009</v>
      </c>
      <c r="H61" s="4">
        <f t="shared" si="12"/>
        <v>12.8451308872371</v>
      </c>
      <c r="I61" s="4">
        <f t="shared" si="12"/>
        <v>12.080705803648</v>
      </c>
      <c r="J61" s="4">
        <f t="shared" si="12"/>
        <v>11.6512901538329</v>
      </c>
      <c r="K61" s="4">
        <f t="shared" si="12"/>
        <v>11.2104859109908</v>
      </c>
      <c r="L61" s="4">
        <f t="shared" si="12"/>
        <v>10.5141840203852</v>
      </c>
      <c r="M61" s="4">
        <f t="shared" si="12"/>
        <v>10.4296746161717</v>
      </c>
      <c r="N61" s="4">
        <f t="shared" si="12"/>
        <v>9.85914086092316</v>
      </c>
      <c r="O61" s="4">
        <f t="shared" si="12"/>
        <v>9.26754479972794</v>
      </c>
      <c r="P61" s="4">
        <f t="shared" si="12"/>
        <v>8.56815581480014</v>
      </c>
      <c r="Q61" s="4">
        <f t="shared" si="12"/>
        <v>7.43889728731653</v>
      </c>
      <c r="R61" s="4">
        <f t="shared" si="12"/>
        <v>5.91549167715281</v>
      </c>
      <c r="S61" s="4">
        <f t="shared" si="11"/>
        <v>5.42967462662981</v>
      </c>
      <c r="T61" s="4">
        <f t="shared" si="11"/>
        <v>4.37364511350998</v>
      </c>
      <c r="U61" s="4">
        <f t="shared" si="11"/>
        <v>3.30941140971902</v>
      </c>
      <c r="V61" s="4">
        <f t="shared" si="11"/>
        <v>3.09469963259518</v>
      </c>
      <c r="W61" s="4">
        <f t="shared" si="11"/>
        <v>2.44684263994523</v>
      </c>
      <c r="X61" s="4">
        <f t="shared" si="11"/>
        <v>2.1180918121857</v>
      </c>
      <c r="Y61" s="4">
        <f t="shared" si="11"/>
        <v>1.77613582205085</v>
      </c>
      <c r="Z61" s="4">
        <f t="shared" si="11"/>
        <v>1.72270149364797</v>
      </c>
      <c r="AA61" s="4">
        <f t="shared" si="11"/>
        <v>1.55920255067073</v>
      </c>
      <c r="AB61" s="4">
        <f t="shared" si="11"/>
        <v>1.32045936234817</v>
      </c>
      <c r="AC61" s="4">
        <f t="shared" si="11"/>
        <v>1.12492132345088</v>
      </c>
      <c r="AD61" s="4">
        <f t="shared" si="11"/>
        <v>1.09258090911758</v>
      </c>
      <c r="AE61" s="4">
        <f t="shared" si="11"/>
        <v>0.960692869448369</v>
      </c>
      <c r="AF61" s="4">
        <f t="shared" si="11"/>
        <v>0.872993743680086</v>
      </c>
      <c r="AG61" s="4">
        <f t="shared" si="11"/>
        <v>0.807225679986336</v>
      </c>
      <c r="AH61" s="4">
        <f t="shared" si="8"/>
        <v>0.560777444540561</v>
      </c>
      <c r="AI61" s="4">
        <f t="shared" si="8"/>
        <v>0.421708236604113</v>
      </c>
      <c r="AJ61" s="4">
        <f t="shared" si="8"/>
        <v>0.355401965334779</v>
      </c>
    </row>
    <row r="62" spans="1:36">
      <c r="A62" t="str">
        <f>"post-semis_procurement_archetype_"&amp;TEXT(ROUND(Table2691617[[#This Row],[2016]],3),"0.0")</f>
        <v>post-semis_procurement_archetype_14.3</v>
      </c>
      <c r="B62" s="4">
        <f t="shared" si="2"/>
        <v>14.3</v>
      </c>
      <c r="C62" s="4">
        <f t="shared" si="12"/>
        <v>14.3</v>
      </c>
      <c r="D62" s="4">
        <f t="shared" si="12"/>
        <v>14.3</v>
      </c>
      <c r="E62" s="4">
        <f t="shared" si="12"/>
        <v>13.9261033206452</v>
      </c>
      <c r="F62" s="4">
        <f t="shared" si="12"/>
        <v>13.0221862921852</v>
      </c>
      <c r="G62" s="4">
        <f t="shared" si="12"/>
        <v>13.1485561022491</v>
      </c>
      <c r="H62" s="4">
        <f t="shared" si="12"/>
        <v>12.7562018278858</v>
      </c>
      <c r="I62" s="4">
        <f t="shared" si="12"/>
        <v>11.9972195848942</v>
      </c>
      <c r="J62" s="4">
        <f t="shared" si="12"/>
        <v>11.5708614497816</v>
      </c>
      <c r="K62" s="4">
        <f t="shared" si="12"/>
        <v>11.1331958104207</v>
      </c>
      <c r="L62" s="4">
        <f t="shared" si="12"/>
        <v>10.4418517113367</v>
      </c>
      <c r="M62" s="4">
        <f t="shared" si="12"/>
        <v>10.3579440288955</v>
      </c>
      <c r="N62" s="4">
        <f t="shared" si="12"/>
        <v>9.79147257399796</v>
      </c>
      <c r="O62" s="4">
        <f t="shared" si="12"/>
        <v>9.2040887804642</v>
      </c>
      <c r="P62" s="4">
        <f t="shared" si="12"/>
        <v>8.50967956771072</v>
      </c>
      <c r="Q62" s="4">
        <f t="shared" si="12"/>
        <v>7.38846155889982</v>
      </c>
      <c r="R62" s="4">
        <f t="shared" si="12"/>
        <v>5.87590286373078</v>
      </c>
      <c r="S62" s="4">
        <f t="shared" si="11"/>
        <v>5.39354491577037</v>
      </c>
      <c r="T62" s="4">
        <f t="shared" si="11"/>
        <v>4.34503451790406</v>
      </c>
      <c r="U62" s="4">
        <f t="shared" si="11"/>
        <v>3.28837834464237</v>
      </c>
      <c r="V62" s="4">
        <f t="shared" si="11"/>
        <v>3.07519535301025</v>
      </c>
      <c r="W62" s="4">
        <f t="shared" si="11"/>
        <v>2.43195121571615</v>
      </c>
      <c r="X62" s="4">
        <f t="shared" si="11"/>
        <v>2.10554115147971</v>
      </c>
      <c r="Y62" s="4">
        <f t="shared" si="11"/>
        <v>1.7660199479389</v>
      </c>
      <c r="Z62" s="4">
        <f t="shared" si="11"/>
        <v>1.71296608132119</v>
      </c>
      <c r="AA62" s="4">
        <f t="shared" si="11"/>
        <v>1.55063127947902</v>
      </c>
      <c r="AB62" s="4">
        <f t="shared" si="11"/>
        <v>1.31358798450859</v>
      </c>
      <c r="AC62" s="4">
        <f t="shared" si="11"/>
        <v>1.11944221072571</v>
      </c>
      <c r="AD62" s="4">
        <f t="shared" si="11"/>
        <v>1.08733206581168</v>
      </c>
      <c r="AE62" s="4">
        <f t="shared" si="11"/>
        <v>0.956383092104655</v>
      </c>
      <c r="AF62" s="4">
        <f t="shared" si="11"/>
        <v>0.869308399485344</v>
      </c>
      <c r="AG62" s="4">
        <f t="shared" si="11"/>
        <v>0.80400861593412</v>
      </c>
      <c r="AH62" s="4">
        <f t="shared" si="8"/>
        <v>0.559315135126658</v>
      </c>
      <c r="AI62" s="4">
        <f t="shared" si="8"/>
        <v>0.421236124329304</v>
      </c>
      <c r="AJ62" s="4">
        <f t="shared" si="8"/>
        <v>0.355401965334779</v>
      </c>
    </row>
    <row r="63" spans="1:36">
      <c r="A63" t="str">
        <f>"post-semis_procurement_archetype_"&amp;TEXT(ROUND(Table2691617[[#This Row],[2016]],3),"0.0")</f>
        <v>post-semis_procurement_archetype_14.2</v>
      </c>
      <c r="B63" s="4">
        <f t="shared" si="2"/>
        <v>14.2</v>
      </c>
      <c r="C63" s="4">
        <f t="shared" si="12"/>
        <v>14.2</v>
      </c>
      <c r="D63" s="4">
        <f t="shared" si="12"/>
        <v>14.2</v>
      </c>
      <c r="E63" s="4">
        <f t="shared" si="12"/>
        <v>13.8287846218804</v>
      </c>
      <c r="F63" s="4">
        <f t="shared" si="12"/>
        <v>12.9313497955335</v>
      </c>
      <c r="G63" s="4">
        <f t="shared" si="12"/>
        <v>13.0568133778973</v>
      </c>
      <c r="H63" s="4">
        <f t="shared" si="12"/>
        <v>12.6672727685345</v>
      </c>
      <c r="I63" s="4">
        <f t="shared" si="12"/>
        <v>11.9137333661404</v>
      </c>
      <c r="J63" s="4">
        <f t="shared" si="12"/>
        <v>11.4904327457302</v>
      </c>
      <c r="K63" s="4">
        <f t="shared" si="12"/>
        <v>11.0559057098506</v>
      </c>
      <c r="L63" s="4">
        <f t="shared" si="12"/>
        <v>10.3695194022883</v>
      </c>
      <c r="M63" s="4">
        <f t="shared" si="12"/>
        <v>10.2862134416194</v>
      </c>
      <c r="N63" s="4">
        <f t="shared" si="12"/>
        <v>9.72380428707276</v>
      </c>
      <c r="O63" s="4">
        <f t="shared" si="12"/>
        <v>9.14063276120045</v>
      </c>
      <c r="P63" s="4">
        <f t="shared" si="12"/>
        <v>8.45120332062132</v>
      </c>
      <c r="Q63" s="4">
        <f t="shared" si="12"/>
        <v>7.33802583048312</v>
      </c>
      <c r="R63" s="4">
        <f t="shared" si="12"/>
        <v>5.83631405030875</v>
      </c>
      <c r="S63" s="4">
        <f t="shared" si="11"/>
        <v>5.35741520491093</v>
      </c>
      <c r="T63" s="4">
        <f t="shared" si="11"/>
        <v>4.31642392229814</v>
      </c>
      <c r="U63" s="4">
        <f t="shared" si="11"/>
        <v>3.26734527956573</v>
      </c>
      <c r="V63" s="4">
        <f t="shared" si="11"/>
        <v>3.05569107342532</v>
      </c>
      <c r="W63" s="4">
        <f t="shared" si="11"/>
        <v>2.41705979148708</v>
      </c>
      <c r="X63" s="4">
        <f t="shared" si="11"/>
        <v>2.09299049077372</v>
      </c>
      <c r="Y63" s="4">
        <f t="shared" si="11"/>
        <v>1.75590407382695</v>
      </c>
      <c r="Z63" s="4">
        <f t="shared" si="11"/>
        <v>1.70323066899442</v>
      </c>
      <c r="AA63" s="4">
        <f t="shared" si="11"/>
        <v>1.54206000828732</v>
      </c>
      <c r="AB63" s="4">
        <f t="shared" si="11"/>
        <v>1.306716606669</v>
      </c>
      <c r="AC63" s="4">
        <f t="shared" si="11"/>
        <v>1.11396309800054</v>
      </c>
      <c r="AD63" s="4">
        <f t="shared" si="11"/>
        <v>1.08208322250578</v>
      </c>
      <c r="AE63" s="4">
        <f t="shared" si="11"/>
        <v>0.952073314760942</v>
      </c>
      <c r="AF63" s="4">
        <f t="shared" si="11"/>
        <v>0.865623055290603</v>
      </c>
      <c r="AG63" s="4">
        <f t="shared" si="11"/>
        <v>0.800791551881903</v>
      </c>
      <c r="AH63" s="4">
        <f t="shared" si="8"/>
        <v>0.557852825712754</v>
      </c>
      <c r="AI63" s="4">
        <f t="shared" si="8"/>
        <v>0.420764012054494</v>
      </c>
      <c r="AJ63" s="4">
        <f t="shared" si="8"/>
        <v>0.355401965334779</v>
      </c>
    </row>
    <row r="64" spans="1:36">
      <c r="A64" t="str">
        <f>"post-semis_procurement_archetype_"&amp;TEXT(ROUND(Table2691617[[#This Row],[2016]],3),"0.0")</f>
        <v>post-semis_procurement_archetype_14.1</v>
      </c>
      <c r="B64" s="4">
        <f t="shared" si="2"/>
        <v>14.1</v>
      </c>
      <c r="C64" s="4">
        <f t="shared" si="12"/>
        <v>14.1</v>
      </c>
      <c r="D64" s="4">
        <f t="shared" si="12"/>
        <v>14.1</v>
      </c>
      <c r="E64" s="4">
        <f t="shared" si="12"/>
        <v>13.7314659231157</v>
      </c>
      <c r="F64" s="4">
        <f t="shared" si="12"/>
        <v>12.8405132988819</v>
      </c>
      <c r="G64" s="4">
        <f t="shared" si="12"/>
        <v>12.9650706535454</v>
      </c>
      <c r="H64" s="4">
        <f t="shared" si="12"/>
        <v>12.5783437091831</v>
      </c>
      <c r="I64" s="4">
        <f t="shared" si="12"/>
        <v>11.8302471473866</v>
      </c>
      <c r="J64" s="4">
        <f t="shared" si="12"/>
        <v>11.4100040416789</v>
      </c>
      <c r="K64" s="4">
        <f t="shared" si="12"/>
        <v>10.9786156092805</v>
      </c>
      <c r="L64" s="4">
        <f t="shared" si="12"/>
        <v>10.2971870932398</v>
      </c>
      <c r="M64" s="4">
        <f t="shared" si="12"/>
        <v>10.2144828543433</v>
      </c>
      <c r="N64" s="4">
        <f t="shared" si="12"/>
        <v>9.65613600014756</v>
      </c>
      <c r="O64" s="4">
        <f t="shared" si="12"/>
        <v>9.0771767419367</v>
      </c>
      <c r="P64" s="4">
        <f t="shared" si="12"/>
        <v>8.3927270735319</v>
      </c>
      <c r="Q64" s="4">
        <f t="shared" si="12"/>
        <v>7.28759010206641</v>
      </c>
      <c r="R64" s="4">
        <f t="shared" si="12"/>
        <v>5.79672523688672</v>
      </c>
      <c r="S64" s="4">
        <f t="shared" si="11"/>
        <v>5.32128549405149</v>
      </c>
      <c r="T64" s="4">
        <f t="shared" si="11"/>
        <v>4.28781332669222</v>
      </c>
      <c r="U64" s="4">
        <f t="shared" si="11"/>
        <v>3.24631221448908</v>
      </c>
      <c r="V64" s="4">
        <f t="shared" si="11"/>
        <v>3.03618679384039</v>
      </c>
      <c r="W64" s="4">
        <f t="shared" si="11"/>
        <v>2.402168367258</v>
      </c>
      <c r="X64" s="4">
        <f t="shared" si="11"/>
        <v>2.08043983006773</v>
      </c>
      <c r="Y64" s="4">
        <f t="shared" si="11"/>
        <v>1.745788199715</v>
      </c>
      <c r="Z64" s="4">
        <f t="shared" si="11"/>
        <v>1.69349525666764</v>
      </c>
      <c r="AA64" s="4">
        <f t="shared" si="11"/>
        <v>1.53348873709561</v>
      </c>
      <c r="AB64" s="4">
        <f t="shared" si="11"/>
        <v>1.29984522882941</v>
      </c>
      <c r="AC64" s="4">
        <f t="shared" si="11"/>
        <v>1.10848398527537</v>
      </c>
      <c r="AD64" s="4">
        <f t="shared" si="11"/>
        <v>1.07683437919989</v>
      </c>
      <c r="AE64" s="4">
        <f t="shared" si="11"/>
        <v>0.947763537417229</v>
      </c>
      <c r="AF64" s="4">
        <f t="shared" si="11"/>
        <v>0.861937711095861</v>
      </c>
      <c r="AG64" s="4">
        <f t="shared" si="11"/>
        <v>0.797574487829686</v>
      </c>
      <c r="AH64" s="4">
        <f t="shared" si="8"/>
        <v>0.556390516298851</v>
      </c>
      <c r="AI64" s="4">
        <f t="shared" si="8"/>
        <v>0.420291899779684</v>
      </c>
      <c r="AJ64" s="4">
        <f t="shared" si="8"/>
        <v>0.355401965334779</v>
      </c>
    </row>
    <row r="65" spans="1:36">
      <c r="A65" t="str">
        <f>"post-semis_procurement_archetype_"&amp;TEXT(ROUND(Table2691617[[#This Row],[2016]],3),"0.0")</f>
        <v>post-semis_procurement_archetype_14.0</v>
      </c>
      <c r="B65" s="4">
        <f t="shared" si="2"/>
        <v>14</v>
      </c>
      <c r="C65" s="4">
        <f t="shared" si="12"/>
        <v>14</v>
      </c>
      <c r="D65" s="4">
        <f t="shared" si="12"/>
        <v>14</v>
      </c>
      <c r="E65" s="4">
        <f t="shared" si="12"/>
        <v>13.6341472243509</v>
      </c>
      <c r="F65" s="4">
        <f t="shared" si="12"/>
        <v>12.7496768022302</v>
      </c>
      <c r="G65" s="4">
        <f t="shared" si="12"/>
        <v>12.8733279291936</v>
      </c>
      <c r="H65" s="4">
        <f t="shared" si="12"/>
        <v>12.4894146498318</v>
      </c>
      <c r="I65" s="4">
        <f t="shared" si="12"/>
        <v>11.7467609286327</v>
      </c>
      <c r="J65" s="4">
        <f t="shared" si="12"/>
        <v>11.3295753376276</v>
      </c>
      <c r="K65" s="4">
        <f t="shared" si="12"/>
        <v>10.9013255087105</v>
      </c>
      <c r="L65" s="4">
        <f t="shared" si="12"/>
        <v>10.2248547841913</v>
      </c>
      <c r="M65" s="4">
        <f t="shared" si="12"/>
        <v>10.1427522670672</v>
      </c>
      <c r="N65" s="4">
        <f t="shared" si="12"/>
        <v>9.58846771322236</v>
      </c>
      <c r="O65" s="4">
        <f t="shared" si="12"/>
        <v>9.01372072267295</v>
      </c>
      <c r="P65" s="4">
        <f t="shared" si="12"/>
        <v>8.33425082644249</v>
      </c>
      <c r="Q65" s="4">
        <f t="shared" si="12"/>
        <v>7.23715437364971</v>
      </c>
      <c r="R65" s="4">
        <f t="shared" si="12"/>
        <v>5.75713642346468</v>
      </c>
      <c r="S65" s="4">
        <f t="shared" si="11"/>
        <v>5.28515578319205</v>
      </c>
      <c r="T65" s="4">
        <f t="shared" si="11"/>
        <v>4.2592027310863</v>
      </c>
      <c r="U65" s="4">
        <f t="shared" si="11"/>
        <v>3.22527914941244</v>
      </c>
      <c r="V65" s="4">
        <f t="shared" si="11"/>
        <v>3.01668251425546</v>
      </c>
      <c r="W65" s="4">
        <f t="shared" si="11"/>
        <v>2.38727694302892</v>
      </c>
      <c r="X65" s="4">
        <f t="shared" si="11"/>
        <v>2.06788916936174</v>
      </c>
      <c r="Y65" s="4">
        <f t="shared" si="11"/>
        <v>1.73567232560305</v>
      </c>
      <c r="Z65" s="4">
        <f t="shared" si="11"/>
        <v>1.68375984434086</v>
      </c>
      <c r="AA65" s="4">
        <f t="shared" si="11"/>
        <v>1.52491746590391</v>
      </c>
      <c r="AB65" s="4">
        <f t="shared" si="11"/>
        <v>1.29297385098982</v>
      </c>
      <c r="AC65" s="4">
        <f t="shared" si="11"/>
        <v>1.10300487255021</v>
      </c>
      <c r="AD65" s="4">
        <f t="shared" si="11"/>
        <v>1.07158553589399</v>
      </c>
      <c r="AE65" s="4">
        <f t="shared" si="11"/>
        <v>0.943453760073516</v>
      </c>
      <c r="AF65" s="4">
        <f t="shared" si="11"/>
        <v>0.85825236690112</v>
      </c>
      <c r="AG65" s="4">
        <f t="shared" si="11"/>
        <v>0.794357423777469</v>
      </c>
      <c r="AH65" s="4">
        <f t="shared" si="8"/>
        <v>0.554928206884948</v>
      </c>
      <c r="AI65" s="4">
        <f t="shared" si="8"/>
        <v>0.419819787504875</v>
      </c>
      <c r="AJ65" s="4">
        <f t="shared" si="8"/>
        <v>0.355401965334779</v>
      </c>
    </row>
    <row r="66" spans="1:36">
      <c r="A66" t="str">
        <f>"post-semis_procurement_archetype_"&amp;TEXT(ROUND(Table2691617[[#This Row],[2016]],3),"0.0")</f>
        <v>post-semis_procurement_archetype_13.9</v>
      </c>
      <c r="B66" s="4">
        <f t="shared" si="2"/>
        <v>13.9</v>
      </c>
      <c r="C66" s="4">
        <f t="shared" si="12"/>
        <v>13.9</v>
      </c>
      <c r="D66" s="4">
        <f t="shared" si="12"/>
        <v>13.9</v>
      </c>
      <c r="E66" s="4">
        <f t="shared" si="12"/>
        <v>13.5368285255862</v>
      </c>
      <c r="F66" s="4">
        <f t="shared" si="12"/>
        <v>12.6588403055785</v>
      </c>
      <c r="G66" s="4">
        <f t="shared" si="12"/>
        <v>12.7815852048418</v>
      </c>
      <c r="H66" s="4">
        <f t="shared" si="12"/>
        <v>12.4004855904805</v>
      </c>
      <c r="I66" s="4">
        <f t="shared" si="12"/>
        <v>11.6632747098789</v>
      </c>
      <c r="J66" s="4">
        <f t="shared" si="12"/>
        <v>11.2491466335763</v>
      </c>
      <c r="K66" s="4">
        <f t="shared" si="12"/>
        <v>10.8240354081404</v>
      </c>
      <c r="L66" s="4">
        <f t="shared" si="12"/>
        <v>10.1525224751428</v>
      </c>
      <c r="M66" s="4">
        <f t="shared" si="12"/>
        <v>10.071021679791</v>
      </c>
      <c r="N66" s="4">
        <f t="shared" si="12"/>
        <v>9.52079942629716</v>
      </c>
      <c r="O66" s="4">
        <f t="shared" si="12"/>
        <v>8.9502647034092</v>
      </c>
      <c r="P66" s="4">
        <f t="shared" si="12"/>
        <v>8.27577457935308</v>
      </c>
      <c r="Q66" s="4">
        <f t="shared" si="12"/>
        <v>7.186718645233</v>
      </c>
      <c r="R66" s="4">
        <f t="shared" si="12"/>
        <v>5.71754761004265</v>
      </c>
      <c r="S66" s="4">
        <f t="shared" si="11"/>
        <v>5.24902607233261</v>
      </c>
      <c r="T66" s="4">
        <f t="shared" si="11"/>
        <v>4.23059213548037</v>
      </c>
      <c r="U66" s="4">
        <f t="shared" si="11"/>
        <v>3.20424608433579</v>
      </c>
      <c r="V66" s="4">
        <f t="shared" si="11"/>
        <v>2.99717823467054</v>
      </c>
      <c r="W66" s="4">
        <f t="shared" si="11"/>
        <v>2.37238551879985</v>
      </c>
      <c r="X66" s="4">
        <f t="shared" si="11"/>
        <v>2.05533850865575</v>
      </c>
      <c r="Y66" s="4">
        <f t="shared" si="11"/>
        <v>1.7255564514911</v>
      </c>
      <c r="Z66" s="4">
        <f t="shared" si="11"/>
        <v>1.67402443201408</v>
      </c>
      <c r="AA66" s="4">
        <f t="shared" si="11"/>
        <v>1.5163461947122</v>
      </c>
      <c r="AB66" s="4">
        <f t="shared" si="11"/>
        <v>1.28610247315023</v>
      </c>
      <c r="AC66" s="4">
        <f t="shared" si="11"/>
        <v>1.09752575982504</v>
      </c>
      <c r="AD66" s="4">
        <f t="shared" si="11"/>
        <v>1.06633669258809</v>
      </c>
      <c r="AE66" s="4">
        <f t="shared" si="11"/>
        <v>0.939143982729803</v>
      </c>
      <c r="AF66" s="4">
        <f t="shared" si="11"/>
        <v>0.854567022706379</v>
      </c>
      <c r="AG66" s="4">
        <f t="shared" si="11"/>
        <v>0.791140359725253</v>
      </c>
      <c r="AH66" s="4">
        <f t="shared" si="8"/>
        <v>0.553465897471045</v>
      </c>
      <c r="AI66" s="4">
        <f t="shared" si="8"/>
        <v>0.419347675230065</v>
      </c>
      <c r="AJ66" s="4">
        <f t="shared" si="8"/>
        <v>0.355401965334779</v>
      </c>
    </row>
    <row r="67" spans="1:36">
      <c r="A67" t="str">
        <f>"post-semis_procurement_archetype_"&amp;TEXT(ROUND(Table2691617[[#This Row],[2016]],3),"0.0")</f>
        <v>post-semis_procurement_archetype_13.8</v>
      </c>
      <c r="B67" s="4">
        <f t="shared" si="2"/>
        <v>13.8</v>
      </c>
      <c r="C67" s="4">
        <f t="shared" si="12"/>
        <v>13.8</v>
      </c>
      <c r="D67" s="4">
        <f t="shared" si="12"/>
        <v>13.8</v>
      </c>
      <c r="E67" s="4">
        <f t="shared" si="12"/>
        <v>13.4395098268215</v>
      </c>
      <c r="F67" s="4">
        <f t="shared" si="12"/>
        <v>12.5680038089268</v>
      </c>
      <c r="G67" s="4">
        <f t="shared" si="12"/>
        <v>12.6898424804899</v>
      </c>
      <c r="H67" s="4">
        <f t="shared" si="12"/>
        <v>12.3115565311292</v>
      </c>
      <c r="I67" s="4">
        <f t="shared" si="12"/>
        <v>11.5797884911251</v>
      </c>
      <c r="J67" s="4">
        <f t="shared" si="12"/>
        <v>11.168717929525</v>
      </c>
      <c r="K67" s="4">
        <f t="shared" si="12"/>
        <v>10.7467453075703</v>
      </c>
      <c r="L67" s="4">
        <f t="shared" si="12"/>
        <v>10.0801901660943</v>
      </c>
      <c r="M67" s="4">
        <f t="shared" si="12"/>
        <v>9.9992910925149</v>
      </c>
      <c r="N67" s="4">
        <f t="shared" si="12"/>
        <v>9.45313113937196</v>
      </c>
      <c r="O67" s="4">
        <f t="shared" si="12"/>
        <v>8.88680868414546</v>
      </c>
      <c r="P67" s="4">
        <f t="shared" si="12"/>
        <v>8.21729833226367</v>
      </c>
      <c r="Q67" s="4">
        <f t="shared" si="12"/>
        <v>7.1362829168163</v>
      </c>
      <c r="R67" s="4">
        <f t="shared" si="12"/>
        <v>5.67795879662062</v>
      </c>
      <c r="S67" s="4">
        <f t="shared" si="11"/>
        <v>5.21289636147317</v>
      </c>
      <c r="T67" s="4">
        <f t="shared" si="11"/>
        <v>4.20198153987445</v>
      </c>
      <c r="U67" s="4">
        <f t="shared" si="11"/>
        <v>3.18321301925915</v>
      </c>
      <c r="V67" s="4">
        <f t="shared" si="11"/>
        <v>2.97767395508561</v>
      </c>
      <c r="W67" s="4">
        <f t="shared" si="11"/>
        <v>2.35749409457077</v>
      </c>
      <c r="X67" s="4">
        <f t="shared" si="11"/>
        <v>2.04278784794976</v>
      </c>
      <c r="Y67" s="4">
        <f t="shared" si="11"/>
        <v>1.71544057737915</v>
      </c>
      <c r="Z67" s="4">
        <f t="shared" si="11"/>
        <v>1.6642890196873</v>
      </c>
      <c r="AA67" s="4">
        <f t="shared" si="11"/>
        <v>1.5077749235205</v>
      </c>
      <c r="AB67" s="4">
        <f t="shared" si="11"/>
        <v>1.27923109531064</v>
      </c>
      <c r="AC67" s="4">
        <f t="shared" si="11"/>
        <v>1.09204664709987</v>
      </c>
      <c r="AD67" s="4">
        <f t="shared" si="11"/>
        <v>1.06108784928219</v>
      </c>
      <c r="AE67" s="4">
        <f t="shared" si="11"/>
        <v>0.934834205386089</v>
      </c>
      <c r="AF67" s="4">
        <f t="shared" si="11"/>
        <v>0.850881678511637</v>
      </c>
      <c r="AG67" s="4">
        <f t="shared" si="11"/>
        <v>0.787923295673036</v>
      </c>
      <c r="AH67" s="4">
        <f t="shared" si="8"/>
        <v>0.552003588057141</v>
      </c>
      <c r="AI67" s="4">
        <f t="shared" si="8"/>
        <v>0.418875562955255</v>
      </c>
      <c r="AJ67" s="4">
        <f t="shared" si="8"/>
        <v>0.355401965334779</v>
      </c>
    </row>
    <row r="68" spans="1:36">
      <c r="A68" t="str">
        <f>"post-semis_procurement_archetype_"&amp;TEXT(ROUND(Table2691617[[#This Row],[2016]],3),"0.0")</f>
        <v>post-semis_procurement_archetype_13.7</v>
      </c>
      <c r="B68" s="4">
        <f t="shared" si="2"/>
        <v>13.7</v>
      </c>
      <c r="C68" s="4">
        <f t="shared" si="12"/>
        <v>13.7</v>
      </c>
      <c r="D68" s="4">
        <f t="shared" si="12"/>
        <v>13.7</v>
      </c>
      <c r="E68" s="4">
        <f t="shared" si="12"/>
        <v>13.3421911280567</v>
      </c>
      <c r="F68" s="4">
        <f t="shared" si="12"/>
        <v>12.4771673122751</v>
      </c>
      <c r="G68" s="4">
        <f t="shared" si="12"/>
        <v>12.5980997561381</v>
      </c>
      <c r="H68" s="4">
        <f t="shared" si="12"/>
        <v>12.2226274717779</v>
      </c>
      <c r="I68" s="4">
        <f t="shared" si="12"/>
        <v>11.4963022723713</v>
      </c>
      <c r="J68" s="4">
        <f t="shared" si="12"/>
        <v>11.0882892254737</v>
      </c>
      <c r="K68" s="4">
        <f t="shared" si="12"/>
        <v>10.6694552070002</v>
      </c>
      <c r="L68" s="4">
        <f t="shared" si="12"/>
        <v>10.0078578570459</v>
      </c>
      <c r="M68" s="4">
        <f t="shared" si="12"/>
        <v>9.92756050523878</v>
      </c>
      <c r="N68" s="4">
        <f t="shared" si="12"/>
        <v>9.38546285244676</v>
      </c>
      <c r="O68" s="4">
        <f t="shared" si="12"/>
        <v>8.82335266488171</v>
      </c>
      <c r="P68" s="4">
        <f t="shared" si="12"/>
        <v>8.15882208517426</v>
      </c>
      <c r="Q68" s="4">
        <f t="shared" si="12"/>
        <v>7.08584718839959</v>
      </c>
      <c r="R68" s="4">
        <f t="shared" si="12"/>
        <v>5.63836998319859</v>
      </c>
      <c r="S68" s="4">
        <f t="shared" si="11"/>
        <v>5.17676665061374</v>
      </c>
      <c r="T68" s="4">
        <f t="shared" si="11"/>
        <v>4.17337094426853</v>
      </c>
      <c r="U68" s="4">
        <f t="shared" si="11"/>
        <v>3.16217995418251</v>
      </c>
      <c r="V68" s="4">
        <f t="shared" si="11"/>
        <v>2.95816967550068</v>
      </c>
      <c r="W68" s="4">
        <f t="shared" si="11"/>
        <v>2.3426026703417</v>
      </c>
      <c r="X68" s="4">
        <f t="shared" si="11"/>
        <v>2.03023718724377</v>
      </c>
      <c r="Y68" s="4">
        <f t="shared" si="11"/>
        <v>1.7053247032672</v>
      </c>
      <c r="Z68" s="4">
        <f t="shared" si="11"/>
        <v>1.65455360736053</v>
      </c>
      <c r="AA68" s="4">
        <f t="shared" si="11"/>
        <v>1.4992036523288</v>
      </c>
      <c r="AB68" s="4">
        <f t="shared" si="11"/>
        <v>1.27235971747105</v>
      </c>
      <c r="AC68" s="4">
        <f t="shared" si="11"/>
        <v>1.0865675343747</v>
      </c>
      <c r="AD68" s="4">
        <f t="shared" si="11"/>
        <v>1.05583900597629</v>
      </c>
      <c r="AE68" s="4">
        <f t="shared" si="11"/>
        <v>0.930524428042376</v>
      </c>
      <c r="AF68" s="4">
        <f t="shared" si="11"/>
        <v>0.847196334316896</v>
      </c>
      <c r="AG68" s="4">
        <f t="shared" si="11"/>
        <v>0.784706231620819</v>
      </c>
      <c r="AH68" s="4">
        <f t="shared" si="8"/>
        <v>0.550541278643238</v>
      </c>
      <c r="AI68" s="4">
        <f t="shared" si="8"/>
        <v>0.418403450680446</v>
      </c>
      <c r="AJ68" s="4">
        <f t="shared" si="8"/>
        <v>0.355401965334779</v>
      </c>
    </row>
    <row r="69" spans="1:36">
      <c r="A69" t="str">
        <f>"post-semis_procurement_archetype_"&amp;TEXT(ROUND(Table2691617[[#This Row],[2016]],3),"0.0")</f>
        <v>post-semis_procurement_archetype_13.6</v>
      </c>
      <c r="B69" s="4">
        <f t="shared" si="2"/>
        <v>13.6</v>
      </c>
      <c r="C69" s="4">
        <f t="shared" si="12"/>
        <v>13.6</v>
      </c>
      <c r="D69" s="4">
        <f t="shared" si="12"/>
        <v>13.6</v>
      </c>
      <c r="E69" s="4">
        <f t="shared" si="12"/>
        <v>13.244872429292</v>
      </c>
      <c r="F69" s="4">
        <f t="shared" si="12"/>
        <v>12.3863308156234</v>
      </c>
      <c r="G69" s="4">
        <f t="shared" si="12"/>
        <v>12.5063570317862</v>
      </c>
      <c r="H69" s="4">
        <f t="shared" si="12"/>
        <v>12.1336984124265</v>
      </c>
      <c r="I69" s="4">
        <f t="shared" si="12"/>
        <v>11.4128160536175</v>
      </c>
      <c r="J69" s="4">
        <f t="shared" si="12"/>
        <v>11.0078605214223</v>
      </c>
      <c r="K69" s="4">
        <f t="shared" si="12"/>
        <v>10.5921651064302</v>
      </c>
      <c r="L69" s="4">
        <f t="shared" si="12"/>
        <v>9.93552554799739</v>
      </c>
      <c r="M69" s="4">
        <f t="shared" si="12"/>
        <v>9.85582991796265</v>
      </c>
      <c r="N69" s="4">
        <f t="shared" si="12"/>
        <v>9.31779456552156</v>
      </c>
      <c r="O69" s="4">
        <f t="shared" si="12"/>
        <v>8.75989664561796</v>
      </c>
      <c r="P69" s="4">
        <f t="shared" si="12"/>
        <v>8.10034583808485</v>
      </c>
      <c r="Q69" s="4">
        <f t="shared" si="12"/>
        <v>7.03541145998288</v>
      </c>
      <c r="R69" s="4">
        <f t="shared" si="12"/>
        <v>5.59878116977655</v>
      </c>
      <c r="S69" s="4">
        <f t="shared" si="11"/>
        <v>5.1406369397543</v>
      </c>
      <c r="T69" s="4">
        <f t="shared" si="11"/>
        <v>4.14476034866261</v>
      </c>
      <c r="U69" s="4">
        <f t="shared" si="11"/>
        <v>3.14114688910586</v>
      </c>
      <c r="V69" s="4">
        <f t="shared" si="11"/>
        <v>2.93866539591575</v>
      </c>
      <c r="W69" s="4">
        <f t="shared" si="11"/>
        <v>2.32771124611262</v>
      </c>
      <c r="X69" s="4">
        <f t="shared" si="11"/>
        <v>2.01768652653778</v>
      </c>
      <c r="Y69" s="4">
        <f t="shared" si="11"/>
        <v>1.69520882915525</v>
      </c>
      <c r="Z69" s="4">
        <f t="shared" si="11"/>
        <v>1.64481819503375</v>
      </c>
      <c r="AA69" s="4">
        <f t="shared" si="11"/>
        <v>1.49063238113709</v>
      </c>
      <c r="AB69" s="4">
        <f t="shared" si="11"/>
        <v>1.26548833963146</v>
      </c>
      <c r="AC69" s="4">
        <f t="shared" si="11"/>
        <v>1.08108842164953</v>
      </c>
      <c r="AD69" s="4">
        <f t="shared" si="11"/>
        <v>1.0505901626704</v>
      </c>
      <c r="AE69" s="4">
        <f t="shared" si="11"/>
        <v>0.926214650698663</v>
      </c>
      <c r="AF69" s="4">
        <f t="shared" si="11"/>
        <v>0.843510990122154</v>
      </c>
      <c r="AG69" s="4">
        <f t="shared" si="11"/>
        <v>0.781489167568602</v>
      </c>
      <c r="AH69" s="4">
        <f t="shared" si="8"/>
        <v>0.549078969229335</v>
      </c>
      <c r="AI69" s="4">
        <f t="shared" si="8"/>
        <v>0.417931338405636</v>
      </c>
      <c r="AJ69" s="4">
        <f t="shared" si="8"/>
        <v>0.355401965334779</v>
      </c>
    </row>
    <row r="70" spans="1:36">
      <c r="A70" t="str">
        <f>"post-semis_procurement_archetype_"&amp;TEXT(ROUND(Table2691617[[#This Row],[2016]],3),"0.0")</f>
        <v>post-semis_procurement_archetype_13.5</v>
      </c>
      <c r="B70" s="4">
        <f t="shared" si="2"/>
        <v>13.5</v>
      </c>
      <c r="C70" s="4">
        <f t="shared" si="12"/>
        <v>13.5</v>
      </c>
      <c r="D70" s="4">
        <f t="shared" si="12"/>
        <v>13.5</v>
      </c>
      <c r="E70" s="4">
        <f t="shared" si="12"/>
        <v>13.1475537305272</v>
      </c>
      <c r="F70" s="4">
        <f t="shared" si="12"/>
        <v>12.2954943189717</v>
      </c>
      <c r="G70" s="4">
        <f t="shared" si="12"/>
        <v>12.4146143074344</v>
      </c>
      <c r="H70" s="4">
        <f t="shared" si="12"/>
        <v>12.0447693530752</v>
      </c>
      <c r="I70" s="4">
        <f t="shared" si="12"/>
        <v>11.3293298348637</v>
      </c>
      <c r="J70" s="4">
        <f t="shared" si="12"/>
        <v>10.927431817371</v>
      </c>
      <c r="K70" s="4">
        <f t="shared" si="12"/>
        <v>10.5148750058601</v>
      </c>
      <c r="L70" s="4">
        <f t="shared" si="12"/>
        <v>9.86319323894891</v>
      </c>
      <c r="M70" s="4">
        <f t="shared" si="12"/>
        <v>9.78409933068652</v>
      </c>
      <c r="N70" s="4">
        <f t="shared" si="12"/>
        <v>9.25012627859635</v>
      </c>
      <c r="O70" s="4">
        <f t="shared" si="12"/>
        <v>8.69644062635421</v>
      </c>
      <c r="P70" s="4">
        <f t="shared" si="12"/>
        <v>8.04186959099544</v>
      </c>
      <c r="Q70" s="4">
        <f t="shared" si="12"/>
        <v>6.98497573156618</v>
      </c>
      <c r="R70" s="4">
        <f t="shared" si="12"/>
        <v>5.55919235635452</v>
      </c>
      <c r="S70" s="4">
        <f t="shared" si="11"/>
        <v>5.10450722889486</v>
      </c>
      <c r="T70" s="4">
        <f t="shared" si="11"/>
        <v>4.11614975305669</v>
      </c>
      <c r="U70" s="4">
        <f t="shared" si="11"/>
        <v>3.12011382402922</v>
      </c>
      <c r="V70" s="4">
        <f t="shared" si="11"/>
        <v>2.91916111633082</v>
      </c>
      <c r="W70" s="4">
        <f t="shared" si="11"/>
        <v>2.31281982188355</v>
      </c>
      <c r="X70" s="4">
        <f t="shared" si="11"/>
        <v>2.00513586583179</v>
      </c>
      <c r="Y70" s="4">
        <f t="shared" si="11"/>
        <v>1.6850929550433</v>
      </c>
      <c r="Z70" s="4">
        <f t="shared" si="11"/>
        <v>1.63508278270697</v>
      </c>
      <c r="AA70" s="4">
        <f t="shared" si="11"/>
        <v>1.48206110994539</v>
      </c>
      <c r="AB70" s="4">
        <f t="shared" si="11"/>
        <v>1.25861696179187</v>
      </c>
      <c r="AC70" s="4">
        <f t="shared" si="11"/>
        <v>1.07560930892436</v>
      </c>
      <c r="AD70" s="4">
        <f t="shared" si="11"/>
        <v>1.0453413193645</v>
      </c>
      <c r="AE70" s="4">
        <f t="shared" si="11"/>
        <v>0.92190487335495</v>
      </c>
      <c r="AF70" s="4">
        <f t="shared" si="11"/>
        <v>0.839825645927413</v>
      </c>
      <c r="AG70" s="4">
        <f t="shared" si="11"/>
        <v>0.778272103516386</v>
      </c>
      <c r="AH70" s="4">
        <f t="shared" si="8"/>
        <v>0.547616659815432</v>
      </c>
      <c r="AI70" s="4">
        <f t="shared" si="8"/>
        <v>0.417459226130826</v>
      </c>
      <c r="AJ70" s="4">
        <f t="shared" si="8"/>
        <v>0.355401965334779</v>
      </c>
    </row>
    <row r="71" spans="1:36">
      <c r="A71" t="str">
        <f>"post-semis_procurement_archetype_"&amp;TEXT(ROUND(Table2691617[[#This Row],[2016]],3),"0.0")</f>
        <v>post-semis_procurement_archetype_13.4</v>
      </c>
      <c r="B71" s="4">
        <f t="shared" ref="B71:B134" si="13">MROUND(B70-0.1,0.1)</f>
        <v>13.4</v>
      </c>
      <c r="C71" s="4">
        <f t="shared" si="12"/>
        <v>13.4</v>
      </c>
      <c r="D71" s="4">
        <f t="shared" si="12"/>
        <v>13.4</v>
      </c>
      <c r="E71" s="4">
        <f t="shared" si="12"/>
        <v>13.0502350317625</v>
      </c>
      <c r="F71" s="4">
        <f t="shared" si="12"/>
        <v>12.20465782232</v>
      </c>
      <c r="G71" s="4">
        <f t="shared" si="12"/>
        <v>12.3228715830826</v>
      </c>
      <c r="H71" s="4">
        <f t="shared" si="12"/>
        <v>11.9558402937239</v>
      </c>
      <c r="I71" s="4">
        <f t="shared" si="12"/>
        <v>11.2458436161099</v>
      </c>
      <c r="J71" s="4">
        <f t="shared" si="12"/>
        <v>10.8470031133197</v>
      </c>
      <c r="K71" s="4">
        <f t="shared" si="12"/>
        <v>10.43758490529</v>
      </c>
      <c r="L71" s="4">
        <f t="shared" si="12"/>
        <v>9.79086092990043</v>
      </c>
      <c r="M71" s="4">
        <f t="shared" si="12"/>
        <v>9.71236874341039</v>
      </c>
      <c r="N71" s="4">
        <f t="shared" si="12"/>
        <v>9.18245799167116</v>
      </c>
      <c r="O71" s="4">
        <f t="shared" si="12"/>
        <v>8.63298460709046</v>
      </c>
      <c r="P71" s="4">
        <f t="shared" si="12"/>
        <v>7.98339334390603</v>
      </c>
      <c r="Q71" s="4">
        <f t="shared" si="12"/>
        <v>6.93454000314947</v>
      </c>
      <c r="R71" s="4">
        <f t="shared" si="12"/>
        <v>5.51960354293249</v>
      </c>
      <c r="S71" s="4">
        <f t="shared" si="11"/>
        <v>5.06837751803542</v>
      </c>
      <c r="T71" s="4">
        <f t="shared" si="11"/>
        <v>4.08753915745077</v>
      </c>
      <c r="U71" s="4">
        <f t="shared" si="11"/>
        <v>3.09908075895257</v>
      </c>
      <c r="V71" s="4">
        <f t="shared" si="11"/>
        <v>2.8996568367459</v>
      </c>
      <c r="W71" s="4">
        <f t="shared" si="11"/>
        <v>2.29792839765447</v>
      </c>
      <c r="X71" s="4">
        <f t="shared" si="11"/>
        <v>1.9925852051258</v>
      </c>
      <c r="Y71" s="4">
        <f t="shared" si="11"/>
        <v>1.67497708093135</v>
      </c>
      <c r="Z71" s="4">
        <f t="shared" si="11"/>
        <v>1.62534737038019</v>
      </c>
      <c r="AA71" s="4">
        <f t="shared" si="11"/>
        <v>1.47348983875368</v>
      </c>
      <c r="AB71" s="4">
        <f t="shared" si="11"/>
        <v>1.25174558395228</v>
      </c>
      <c r="AC71" s="4">
        <f t="shared" si="11"/>
        <v>1.07013019619919</v>
      </c>
      <c r="AD71" s="4">
        <f t="shared" si="11"/>
        <v>1.0400924760586</v>
      </c>
      <c r="AE71" s="4">
        <f t="shared" si="11"/>
        <v>0.917595096011237</v>
      </c>
      <c r="AF71" s="4">
        <f t="shared" si="11"/>
        <v>0.836140301732671</v>
      </c>
      <c r="AG71" s="4">
        <f t="shared" si="11"/>
        <v>0.775055039464169</v>
      </c>
      <c r="AH71" s="4">
        <f t="shared" si="8"/>
        <v>0.546154350401528</v>
      </c>
      <c r="AI71" s="4">
        <f t="shared" si="8"/>
        <v>0.416987113856017</v>
      </c>
      <c r="AJ71" s="4">
        <f t="shared" si="8"/>
        <v>0.355401965334779</v>
      </c>
    </row>
    <row r="72" spans="1:36">
      <c r="A72" t="str">
        <f>"post-semis_procurement_archetype_"&amp;TEXT(ROUND(Table2691617[[#This Row],[2016]],3),"0.0")</f>
        <v>post-semis_procurement_archetype_13.3</v>
      </c>
      <c r="B72" s="4">
        <f t="shared" si="13"/>
        <v>13.3</v>
      </c>
      <c r="C72" s="4">
        <f t="shared" si="12"/>
        <v>13.3</v>
      </c>
      <c r="D72" s="4">
        <f t="shared" si="12"/>
        <v>13.3</v>
      </c>
      <c r="E72" s="4">
        <f t="shared" si="12"/>
        <v>12.9529163329977</v>
      </c>
      <c r="F72" s="4">
        <f t="shared" si="12"/>
        <v>12.1138213256683</v>
      </c>
      <c r="G72" s="4">
        <f t="shared" si="12"/>
        <v>12.2311288587307</v>
      </c>
      <c r="H72" s="4">
        <f t="shared" si="12"/>
        <v>11.8669112343726</v>
      </c>
      <c r="I72" s="4">
        <f t="shared" si="12"/>
        <v>11.1623573973561</v>
      </c>
      <c r="J72" s="4">
        <f t="shared" si="12"/>
        <v>10.7665744092684</v>
      </c>
      <c r="K72" s="4">
        <f t="shared" si="12"/>
        <v>10.3602948047199</v>
      </c>
      <c r="L72" s="4">
        <f t="shared" si="12"/>
        <v>9.71852862085196</v>
      </c>
      <c r="M72" s="4">
        <f t="shared" si="12"/>
        <v>9.64063815613426</v>
      </c>
      <c r="N72" s="4">
        <f t="shared" si="12"/>
        <v>9.11478970474595</v>
      </c>
      <c r="O72" s="4">
        <f t="shared" si="12"/>
        <v>8.56952858782671</v>
      </c>
      <c r="P72" s="4">
        <f t="shared" si="12"/>
        <v>7.92491709681662</v>
      </c>
      <c r="Q72" s="4">
        <f t="shared" si="12"/>
        <v>6.88410427473277</v>
      </c>
      <c r="R72" s="4">
        <f t="shared" si="12"/>
        <v>5.48001472951046</v>
      </c>
      <c r="S72" s="4">
        <f t="shared" si="11"/>
        <v>5.03224780717598</v>
      </c>
      <c r="T72" s="4">
        <f t="shared" si="11"/>
        <v>4.05892856184485</v>
      </c>
      <c r="U72" s="4">
        <f t="shared" si="11"/>
        <v>3.07804769387593</v>
      </c>
      <c r="V72" s="4">
        <f t="shared" si="11"/>
        <v>2.88015255716097</v>
      </c>
      <c r="W72" s="4">
        <f t="shared" si="11"/>
        <v>2.28303697342539</v>
      </c>
      <c r="X72" s="4">
        <f t="shared" si="11"/>
        <v>1.98003454441981</v>
      </c>
      <c r="Y72" s="4">
        <f t="shared" si="11"/>
        <v>1.6648612068194</v>
      </c>
      <c r="Z72" s="4">
        <f t="shared" si="11"/>
        <v>1.61561195805342</v>
      </c>
      <c r="AA72" s="4">
        <f t="shared" si="11"/>
        <v>1.46491856756198</v>
      </c>
      <c r="AB72" s="4">
        <f t="shared" si="11"/>
        <v>1.24487420611269</v>
      </c>
      <c r="AC72" s="4">
        <f t="shared" si="11"/>
        <v>1.06465108347403</v>
      </c>
      <c r="AD72" s="4">
        <f t="shared" si="11"/>
        <v>1.0348436327527</v>
      </c>
      <c r="AE72" s="4">
        <f t="shared" si="11"/>
        <v>0.913285318667523</v>
      </c>
      <c r="AF72" s="4">
        <f t="shared" si="11"/>
        <v>0.83245495753793</v>
      </c>
      <c r="AG72" s="4">
        <f t="shared" si="11"/>
        <v>0.771837975411952</v>
      </c>
      <c r="AH72" s="4">
        <f t="shared" si="8"/>
        <v>0.544692040987625</v>
      </c>
      <c r="AI72" s="4">
        <f t="shared" si="8"/>
        <v>0.416515001581207</v>
      </c>
      <c r="AJ72" s="4">
        <f t="shared" si="8"/>
        <v>0.355401965334779</v>
      </c>
    </row>
    <row r="73" spans="1:36">
      <c r="A73" t="str">
        <f>"post-semis_procurement_archetype_"&amp;TEXT(ROUND(Table2691617[[#This Row],[2016]],3),"0.0")</f>
        <v>post-semis_procurement_archetype_13.2</v>
      </c>
      <c r="B73" s="4">
        <f t="shared" si="13"/>
        <v>13.2</v>
      </c>
      <c r="C73" s="4">
        <f t="shared" si="12"/>
        <v>13.2</v>
      </c>
      <c r="D73" s="4">
        <f t="shared" si="12"/>
        <v>13.2</v>
      </c>
      <c r="E73" s="4">
        <f t="shared" si="12"/>
        <v>12.855597634233</v>
      </c>
      <c r="F73" s="4">
        <f t="shared" si="12"/>
        <v>12.0229848290166</v>
      </c>
      <c r="G73" s="4">
        <f t="shared" si="12"/>
        <v>12.1393861343789</v>
      </c>
      <c r="H73" s="4">
        <f t="shared" si="12"/>
        <v>11.7779821750212</v>
      </c>
      <c r="I73" s="4">
        <f t="shared" si="12"/>
        <v>11.0788711786023</v>
      </c>
      <c r="J73" s="4">
        <f t="shared" si="12"/>
        <v>10.6861457052171</v>
      </c>
      <c r="K73" s="4">
        <f t="shared" si="12"/>
        <v>10.2830047041498</v>
      </c>
      <c r="L73" s="4">
        <f t="shared" si="12"/>
        <v>9.64619631180348</v>
      </c>
      <c r="M73" s="4">
        <f t="shared" si="12"/>
        <v>9.56890756885814</v>
      </c>
      <c r="N73" s="4">
        <f t="shared" si="12"/>
        <v>9.04712141782075</v>
      </c>
      <c r="O73" s="4">
        <f t="shared" si="12"/>
        <v>8.50607256856297</v>
      </c>
      <c r="P73" s="4">
        <f t="shared" si="12"/>
        <v>7.86644084972721</v>
      </c>
      <c r="Q73" s="4">
        <f t="shared" si="12"/>
        <v>6.83366854631606</v>
      </c>
      <c r="R73" s="4">
        <f t="shared" si="12"/>
        <v>5.44042591608842</v>
      </c>
      <c r="S73" s="4">
        <f t="shared" si="11"/>
        <v>4.99611809631654</v>
      </c>
      <c r="T73" s="4">
        <f t="shared" si="11"/>
        <v>4.03031796623893</v>
      </c>
      <c r="U73" s="4">
        <f t="shared" si="11"/>
        <v>3.05701462879929</v>
      </c>
      <c r="V73" s="4">
        <f t="shared" si="11"/>
        <v>2.86064827757604</v>
      </c>
      <c r="W73" s="4">
        <f t="shared" si="11"/>
        <v>2.26814554919632</v>
      </c>
      <c r="X73" s="4">
        <f t="shared" si="11"/>
        <v>1.96748388371382</v>
      </c>
      <c r="Y73" s="4">
        <f t="shared" si="11"/>
        <v>1.65474533270746</v>
      </c>
      <c r="Z73" s="4">
        <f t="shared" si="11"/>
        <v>1.60587654572664</v>
      </c>
      <c r="AA73" s="4">
        <f t="shared" si="11"/>
        <v>1.45634729637027</v>
      </c>
      <c r="AB73" s="4">
        <f t="shared" si="11"/>
        <v>1.2380028282731</v>
      </c>
      <c r="AC73" s="4">
        <f t="shared" si="11"/>
        <v>1.05917197074886</v>
      </c>
      <c r="AD73" s="4">
        <f t="shared" si="11"/>
        <v>1.0295947894468</v>
      </c>
      <c r="AE73" s="4">
        <f t="shared" si="11"/>
        <v>0.90897554132381</v>
      </c>
      <c r="AF73" s="4">
        <f t="shared" si="11"/>
        <v>0.828769613343188</v>
      </c>
      <c r="AG73" s="4">
        <f t="shared" si="11"/>
        <v>0.768620911359735</v>
      </c>
      <c r="AH73" s="4">
        <f t="shared" si="8"/>
        <v>0.543229731573722</v>
      </c>
      <c r="AI73" s="4">
        <f t="shared" si="8"/>
        <v>0.416042889306397</v>
      </c>
      <c r="AJ73" s="4">
        <f t="shared" si="8"/>
        <v>0.355401965334779</v>
      </c>
    </row>
    <row r="74" spans="1:36">
      <c r="A74" t="str">
        <f>"post-semis_procurement_archetype_"&amp;TEXT(ROUND(Table2691617[[#This Row],[2016]],3),"0.0")</f>
        <v>post-semis_procurement_archetype_13.1</v>
      </c>
      <c r="B74" s="4">
        <f t="shared" si="13"/>
        <v>13.1</v>
      </c>
      <c r="C74" s="4">
        <f t="shared" si="12"/>
        <v>13.1</v>
      </c>
      <c r="D74" s="4">
        <f t="shared" si="12"/>
        <v>13.1</v>
      </c>
      <c r="E74" s="4">
        <f t="shared" si="12"/>
        <v>12.7582789354682</v>
      </c>
      <c r="F74" s="4">
        <f t="shared" si="12"/>
        <v>11.9321483323649</v>
      </c>
      <c r="G74" s="4">
        <f t="shared" si="12"/>
        <v>12.0476434100271</v>
      </c>
      <c r="H74" s="4">
        <f t="shared" si="12"/>
        <v>11.6890531156699</v>
      </c>
      <c r="I74" s="4">
        <f t="shared" si="12"/>
        <v>10.9953849598485</v>
      </c>
      <c r="J74" s="4">
        <f t="shared" si="12"/>
        <v>10.6057170011657</v>
      </c>
      <c r="K74" s="4">
        <f t="shared" si="12"/>
        <v>10.2057146035798</v>
      </c>
      <c r="L74" s="4">
        <f t="shared" si="12"/>
        <v>9.573864002755</v>
      </c>
      <c r="M74" s="4">
        <f t="shared" si="12"/>
        <v>9.49717698158201</v>
      </c>
      <c r="N74" s="4">
        <f t="shared" si="12"/>
        <v>8.97945313089555</v>
      </c>
      <c r="O74" s="4">
        <f t="shared" si="12"/>
        <v>8.44261654929922</v>
      </c>
      <c r="P74" s="4">
        <f t="shared" si="12"/>
        <v>7.8079646026378</v>
      </c>
      <c r="Q74" s="4">
        <f t="shared" si="12"/>
        <v>6.78323281789936</v>
      </c>
      <c r="R74" s="4">
        <f t="shared" si="12"/>
        <v>5.40083710266639</v>
      </c>
      <c r="S74" s="4">
        <f t="shared" si="11"/>
        <v>4.9599883854571</v>
      </c>
      <c r="T74" s="4">
        <f t="shared" si="11"/>
        <v>4.00170737063301</v>
      </c>
      <c r="U74" s="4">
        <f t="shared" si="11"/>
        <v>3.03598156372264</v>
      </c>
      <c r="V74" s="4">
        <f t="shared" si="11"/>
        <v>2.84114399799111</v>
      </c>
      <c r="W74" s="4">
        <f t="shared" si="11"/>
        <v>2.25325412496724</v>
      </c>
      <c r="X74" s="4">
        <f t="shared" si="11"/>
        <v>1.95493322300783</v>
      </c>
      <c r="Y74" s="4">
        <f t="shared" si="11"/>
        <v>1.64462945859551</v>
      </c>
      <c r="Z74" s="4">
        <f t="shared" si="11"/>
        <v>1.59614113339986</v>
      </c>
      <c r="AA74" s="4">
        <f t="shared" si="11"/>
        <v>1.44777602517857</v>
      </c>
      <c r="AB74" s="4">
        <f t="shared" si="11"/>
        <v>1.23113145043351</v>
      </c>
      <c r="AC74" s="4">
        <f t="shared" si="11"/>
        <v>1.05369285802369</v>
      </c>
      <c r="AD74" s="4">
        <f t="shared" si="11"/>
        <v>1.02434594614091</v>
      </c>
      <c r="AE74" s="4">
        <f t="shared" si="11"/>
        <v>0.904665763980097</v>
      </c>
      <c r="AF74" s="4">
        <f t="shared" si="11"/>
        <v>0.825084269148447</v>
      </c>
      <c r="AG74" s="4">
        <f t="shared" si="11"/>
        <v>0.765403847307519</v>
      </c>
      <c r="AH74" s="4">
        <f t="shared" si="8"/>
        <v>0.541767422159818</v>
      </c>
      <c r="AI74" s="4">
        <f t="shared" si="8"/>
        <v>0.415570777031588</v>
      </c>
      <c r="AJ74" s="4">
        <f t="shared" si="8"/>
        <v>0.355401965334779</v>
      </c>
    </row>
    <row r="75" spans="1:36">
      <c r="A75" t="str">
        <f>"post-semis_procurement_archetype_"&amp;TEXT(ROUND(Table2691617[[#This Row],[2016]],3),"0.0")</f>
        <v>post-semis_procurement_archetype_13.0</v>
      </c>
      <c r="B75" s="4">
        <f t="shared" si="13"/>
        <v>13</v>
      </c>
      <c r="C75" s="4">
        <f t="shared" si="12"/>
        <v>13</v>
      </c>
      <c r="D75" s="4">
        <f t="shared" si="12"/>
        <v>13</v>
      </c>
      <c r="E75" s="4">
        <f t="shared" si="12"/>
        <v>12.6609602367035</v>
      </c>
      <c r="F75" s="4">
        <f t="shared" si="12"/>
        <v>11.8413118357133</v>
      </c>
      <c r="G75" s="4">
        <f t="shared" si="12"/>
        <v>11.9559006856752</v>
      </c>
      <c r="H75" s="4">
        <f t="shared" si="12"/>
        <v>11.6001240563186</v>
      </c>
      <c r="I75" s="4">
        <f t="shared" si="12"/>
        <v>10.9118987410947</v>
      </c>
      <c r="J75" s="4">
        <f t="shared" si="12"/>
        <v>10.5252882971144</v>
      </c>
      <c r="K75" s="4">
        <f t="shared" si="12"/>
        <v>10.1284245030097</v>
      </c>
      <c r="L75" s="4">
        <f t="shared" si="12"/>
        <v>9.50153169370653</v>
      </c>
      <c r="M75" s="4">
        <f t="shared" si="12"/>
        <v>9.42544639430588</v>
      </c>
      <c r="N75" s="4">
        <f t="shared" si="12"/>
        <v>8.91178484397035</v>
      </c>
      <c r="O75" s="4">
        <f t="shared" si="12"/>
        <v>8.37916053003547</v>
      </c>
      <c r="P75" s="4">
        <f t="shared" si="12"/>
        <v>7.74948835554839</v>
      </c>
      <c r="Q75" s="4">
        <f t="shared" si="12"/>
        <v>6.73279708948265</v>
      </c>
      <c r="R75" s="4">
        <f t="shared" si="12"/>
        <v>5.36124828924436</v>
      </c>
      <c r="S75" s="4">
        <f t="shared" si="11"/>
        <v>4.92385867459766</v>
      </c>
      <c r="T75" s="4">
        <f t="shared" si="11"/>
        <v>3.97309677502708</v>
      </c>
      <c r="U75" s="4">
        <f t="shared" si="11"/>
        <v>3.014948498646</v>
      </c>
      <c r="V75" s="4">
        <f t="shared" si="11"/>
        <v>2.82163971840619</v>
      </c>
      <c r="W75" s="4">
        <f t="shared" si="11"/>
        <v>2.23836270073817</v>
      </c>
      <c r="X75" s="4">
        <f t="shared" si="11"/>
        <v>1.94238256230184</v>
      </c>
      <c r="Y75" s="4">
        <f t="shared" si="11"/>
        <v>1.63451358448356</v>
      </c>
      <c r="Z75" s="4">
        <f t="shared" si="11"/>
        <v>1.58640572107308</v>
      </c>
      <c r="AA75" s="4">
        <f t="shared" si="11"/>
        <v>1.43920475398686</v>
      </c>
      <c r="AB75" s="4">
        <f t="shared" si="11"/>
        <v>1.22426007259392</v>
      </c>
      <c r="AC75" s="4">
        <f t="shared" si="11"/>
        <v>1.04821374529852</v>
      </c>
      <c r="AD75" s="4">
        <f t="shared" si="11"/>
        <v>1.01909710283501</v>
      </c>
      <c r="AE75" s="4">
        <f t="shared" si="11"/>
        <v>0.900355986636384</v>
      </c>
      <c r="AF75" s="4">
        <f t="shared" si="11"/>
        <v>0.821398924953705</v>
      </c>
      <c r="AG75" s="4">
        <f t="shared" si="11"/>
        <v>0.762186783255302</v>
      </c>
      <c r="AH75" s="4">
        <f t="shared" si="8"/>
        <v>0.540305112745915</v>
      </c>
      <c r="AI75" s="4">
        <f t="shared" si="8"/>
        <v>0.415098664756778</v>
      </c>
      <c r="AJ75" s="4">
        <f t="shared" si="8"/>
        <v>0.355401965334779</v>
      </c>
    </row>
    <row r="76" spans="1:36">
      <c r="A76" t="str">
        <f>"post-semis_procurement_archetype_"&amp;TEXT(ROUND(Table2691617[[#This Row],[2016]],3),"0.0")</f>
        <v>post-semis_procurement_archetype_12.9</v>
      </c>
      <c r="B76" s="4">
        <f t="shared" si="13"/>
        <v>12.9</v>
      </c>
      <c r="C76" s="4">
        <f t="shared" si="12"/>
        <v>12.9</v>
      </c>
      <c r="D76" s="4">
        <f t="shared" si="12"/>
        <v>12.9</v>
      </c>
      <c r="E76" s="4">
        <f t="shared" si="12"/>
        <v>12.5636415379387</v>
      </c>
      <c r="F76" s="4">
        <f t="shared" si="12"/>
        <v>11.7504753390616</v>
      </c>
      <c r="G76" s="4">
        <f t="shared" si="12"/>
        <v>11.8641579613234</v>
      </c>
      <c r="H76" s="4">
        <f t="shared" si="12"/>
        <v>11.5111949969673</v>
      </c>
      <c r="I76" s="4">
        <f t="shared" si="12"/>
        <v>10.8284125223409</v>
      </c>
      <c r="J76" s="4">
        <f t="shared" si="12"/>
        <v>10.4448595930631</v>
      </c>
      <c r="K76" s="4">
        <f t="shared" si="12"/>
        <v>10.0511344024396</v>
      </c>
      <c r="L76" s="4">
        <f t="shared" si="12"/>
        <v>9.42919938465805</v>
      </c>
      <c r="M76" s="4">
        <f t="shared" si="12"/>
        <v>9.35371580702975</v>
      </c>
      <c r="N76" s="4">
        <f t="shared" si="12"/>
        <v>8.84411655704515</v>
      </c>
      <c r="O76" s="4">
        <f t="shared" si="12"/>
        <v>8.31570451077172</v>
      </c>
      <c r="P76" s="4">
        <f t="shared" si="12"/>
        <v>7.69101210845898</v>
      </c>
      <c r="Q76" s="4">
        <f t="shared" si="12"/>
        <v>6.68236136106594</v>
      </c>
      <c r="R76" s="4">
        <f t="shared" ref="R76:AG91" si="14">(($B76-$AJ$2)*((R$2-$AJ$2)/($B$2-$AJ$2)))+$AJ$2</f>
        <v>5.32165947582233</v>
      </c>
      <c r="S76" s="4">
        <f t="shared" si="14"/>
        <v>4.88772896373822</v>
      </c>
      <c r="T76" s="4">
        <f t="shared" si="14"/>
        <v>3.94448617942116</v>
      </c>
      <c r="U76" s="4">
        <f t="shared" si="14"/>
        <v>2.99391543356935</v>
      </c>
      <c r="V76" s="4">
        <f t="shared" si="14"/>
        <v>2.80213543882126</v>
      </c>
      <c r="W76" s="4">
        <f t="shared" si="14"/>
        <v>2.22347127650909</v>
      </c>
      <c r="X76" s="4">
        <f t="shared" si="14"/>
        <v>1.92983190159585</v>
      </c>
      <c r="Y76" s="4">
        <f t="shared" si="14"/>
        <v>1.62439771037161</v>
      </c>
      <c r="Z76" s="4">
        <f t="shared" si="14"/>
        <v>1.5766703087463</v>
      </c>
      <c r="AA76" s="4">
        <f t="shared" si="14"/>
        <v>1.43063348279516</v>
      </c>
      <c r="AB76" s="4">
        <f t="shared" si="14"/>
        <v>1.21738869475433</v>
      </c>
      <c r="AC76" s="4">
        <f t="shared" si="14"/>
        <v>1.04273463257335</v>
      </c>
      <c r="AD76" s="4">
        <f t="shared" si="14"/>
        <v>1.01384825952911</v>
      </c>
      <c r="AE76" s="4">
        <f t="shared" si="14"/>
        <v>0.896046209292671</v>
      </c>
      <c r="AF76" s="4">
        <f t="shared" si="14"/>
        <v>0.817713580758964</v>
      </c>
      <c r="AG76" s="4">
        <f t="shared" si="14"/>
        <v>0.758969719203085</v>
      </c>
      <c r="AH76" s="4">
        <f t="shared" si="8"/>
        <v>0.538842803332012</v>
      </c>
      <c r="AI76" s="4">
        <f t="shared" si="8"/>
        <v>0.414626552481968</v>
      </c>
      <c r="AJ76" s="4">
        <f t="shared" si="8"/>
        <v>0.355401965334779</v>
      </c>
    </row>
    <row r="77" spans="1:36">
      <c r="A77" t="str">
        <f>"post-semis_procurement_archetype_"&amp;TEXT(ROUND(Table2691617[[#This Row],[2016]],3),"0.0")</f>
        <v>post-semis_procurement_archetype_12.8</v>
      </c>
      <c r="B77" s="4">
        <f t="shared" si="13"/>
        <v>12.8</v>
      </c>
      <c r="C77" s="4">
        <f t="shared" ref="C77:R92" si="15">(($B77-$AJ$2)*((C$2-$AJ$2)/($B$2-$AJ$2)))+$AJ$2</f>
        <v>12.8</v>
      </c>
      <c r="D77" s="4">
        <f t="shared" si="15"/>
        <v>12.8</v>
      </c>
      <c r="E77" s="4">
        <f t="shared" si="15"/>
        <v>12.466322839174</v>
      </c>
      <c r="F77" s="4">
        <f t="shared" si="15"/>
        <v>11.6596388424099</v>
      </c>
      <c r="G77" s="4">
        <f t="shared" si="15"/>
        <v>11.7724152369716</v>
      </c>
      <c r="H77" s="4">
        <f t="shared" si="15"/>
        <v>11.4222659376159</v>
      </c>
      <c r="I77" s="4">
        <f t="shared" si="15"/>
        <v>10.7449263035871</v>
      </c>
      <c r="J77" s="4">
        <f t="shared" si="15"/>
        <v>10.3644308890118</v>
      </c>
      <c r="K77" s="4">
        <f t="shared" si="15"/>
        <v>9.97384430186952</v>
      </c>
      <c r="L77" s="4">
        <f t="shared" si="15"/>
        <v>9.35686707560957</v>
      </c>
      <c r="M77" s="4">
        <f t="shared" si="15"/>
        <v>9.28198521975362</v>
      </c>
      <c r="N77" s="4">
        <f t="shared" si="15"/>
        <v>8.77644827011995</v>
      </c>
      <c r="O77" s="4">
        <f t="shared" si="15"/>
        <v>8.25224849150797</v>
      </c>
      <c r="P77" s="4">
        <f t="shared" si="15"/>
        <v>7.63253586136957</v>
      </c>
      <c r="Q77" s="4">
        <f t="shared" si="15"/>
        <v>6.63192563264924</v>
      </c>
      <c r="R77" s="4">
        <f t="shared" si="15"/>
        <v>5.28207066240029</v>
      </c>
      <c r="S77" s="4">
        <f t="shared" si="14"/>
        <v>4.85159925287878</v>
      </c>
      <c r="T77" s="4">
        <f t="shared" si="14"/>
        <v>3.91587558381524</v>
      </c>
      <c r="U77" s="4">
        <f t="shared" si="14"/>
        <v>2.97288236849271</v>
      </c>
      <c r="V77" s="4">
        <f t="shared" si="14"/>
        <v>2.78263115923633</v>
      </c>
      <c r="W77" s="4">
        <f t="shared" si="14"/>
        <v>2.20857985228001</v>
      </c>
      <c r="X77" s="4">
        <f t="shared" si="14"/>
        <v>1.91728124088987</v>
      </c>
      <c r="Y77" s="4">
        <f t="shared" si="14"/>
        <v>1.61428183625966</v>
      </c>
      <c r="Z77" s="4">
        <f t="shared" si="14"/>
        <v>1.56693489641953</v>
      </c>
      <c r="AA77" s="4">
        <f t="shared" si="14"/>
        <v>1.42206221160346</v>
      </c>
      <c r="AB77" s="4">
        <f t="shared" si="14"/>
        <v>1.21051731691474</v>
      </c>
      <c r="AC77" s="4">
        <f t="shared" si="14"/>
        <v>1.03725551984818</v>
      </c>
      <c r="AD77" s="4">
        <f t="shared" si="14"/>
        <v>1.00859941622321</v>
      </c>
      <c r="AE77" s="4">
        <f t="shared" si="14"/>
        <v>0.891736431948958</v>
      </c>
      <c r="AF77" s="4">
        <f t="shared" si="14"/>
        <v>0.814028236564223</v>
      </c>
      <c r="AG77" s="4">
        <f t="shared" si="14"/>
        <v>0.755752655150868</v>
      </c>
      <c r="AH77" s="4">
        <f t="shared" si="8"/>
        <v>0.537380493918109</v>
      </c>
      <c r="AI77" s="4">
        <f t="shared" si="8"/>
        <v>0.414154440207158</v>
      </c>
      <c r="AJ77" s="4">
        <f t="shared" si="8"/>
        <v>0.355401965334779</v>
      </c>
    </row>
    <row r="78" spans="1:36">
      <c r="A78" t="str">
        <f>"post-semis_procurement_archetype_"&amp;TEXT(ROUND(Table2691617[[#This Row],[2016]],3),"0.0")</f>
        <v>post-semis_procurement_archetype_12.7</v>
      </c>
      <c r="B78" s="4">
        <f t="shared" si="13"/>
        <v>12.7</v>
      </c>
      <c r="C78" s="4">
        <f t="shared" si="15"/>
        <v>12.7</v>
      </c>
      <c r="D78" s="4">
        <f t="shared" si="15"/>
        <v>12.7</v>
      </c>
      <c r="E78" s="4">
        <f t="shared" si="15"/>
        <v>12.3690041404093</v>
      </c>
      <c r="F78" s="4">
        <f t="shared" si="15"/>
        <v>11.5688023457582</v>
      </c>
      <c r="G78" s="4">
        <f t="shared" si="15"/>
        <v>11.6806725126197</v>
      </c>
      <c r="H78" s="4">
        <f t="shared" si="15"/>
        <v>11.3333368782646</v>
      </c>
      <c r="I78" s="4">
        <f t="shared" si="15"/>
        <v>10.6614400848333</v>
      </c>
      <c r="J78" s="4">
        <f t="shared" si="15"/>
        <v>10.2840021849605</v>
      </c>
      <c r="K78" s="4">
        <f t="shared" si="15"/>
        <v>9.89655420129944</v>
      </c>
      <c r="L78" s="4">
        <f t="shared" si="15"/>
        <v>9.28453476656109</v>
      </c>
      <c r="M78" s="4">
        <f t="shared" si="15"/>
        <v>9.2102546324775</v>
      </c>
      <c r="N78" s="4">
        <f t="shared" si="15"/>
        <v>8.70877998319475</v>
      </c>
      <c r="O78" s="4">
        <f t="shared" si="15"/>
        <v>8.18879247224423</v>
      </c>
      <c r="P78" s="4">
        <f t="shared" si="15"/>
        <v>7.57405961428015</v>
      </c>
      <c r="Q78" s="4">
        <f t="shared" si="15"/>
        <v>6.58148990423253</v>
      </c>
      <c r="R78" s="4">
        <f t="shared" si="15"/>
        <v>5.24248184897826</v>
      </c>
      <c r="S78" s="4">
        <f t="shared" si="14"/>
        <v>4.81546954201934</v>
      </c>
      <c r="T78" s="4">
        <f t="shared" si="14"/>
        <v>3.88726498820932</v>
      </c>
      <c r="U78" s="4">
        <f t="shared" si="14"/>
        <v>2.95184930341606</v>
      </c>
      <c r="V78" s="4">
        <f t="shared" si="14"/>
        <v>2.7631268796514</v>
      </c>
      <c r="W78" s="4">
        <f t="shared" si="14"/>
        <v>2.19368842805094</v>
      </c>
      <c r="X78" s="4">
        <f t="shared" si="14"/>
        <v>1.90473058018388</v>
      </c>
      <c r="Y78" s="4">
        <f t="shared" si="14"/>
        <v>1.60416596214771</v>
      </c>
      <c r="Z78" s="4">
        <f t="shared" si="14"/>
        <v>1.55719948409275</v>
      </c>
      <c r="AA78" s="4">
        <f t="shared" si="14"/>
        <v>1.41349094041175</v>
      </c>
      <c r="AB78" s="4">
        <f t="shared" si="14"/>
        <v>1.20364593907515</v>
      </c>
      <c r="AC78" s="4">
        <f t="shared" si="14"/>
        <v>1.03177640712302</v>
      </c>
      <c r="AD78" s="4">
        <f t="shared" si="14"/>
        <v>1.00335057291731</v>
      </c>
      <c r="AE78" s="4">
        <f t="shared" si="14"/>
        <v>0.887426654605244</v>
      </c>
      <c r="AF78" s="4">
        <f t="shared" si="14"/>
        <v>0.810342892369481</v>
      </c>
      <c r="AG78" s="4">
        <f t="shared" si="14"/>
        <v>0.752535591098651</v>
      </c>
      <c r="AH78" s="4">
        <f t="shared" si="8"/>
        <v>0.535918184504205</v>
      </c>
      <c r="AI78" s="4">
        <f t="shared" si="8"/>
        <v>0.413682327932349</v>
      </c>
      <c r="AJ78" s="4">
        <f t="shared" si="8"/>
        <v>0.355401965334779</v>
      </c>
    </row>
    <row r="79" spans="1:36">
      <c r="A79" t="str">
        <f>"post-semis_procurement_archetype_"&amp;TEXT(ROUND(Table2691617[[#This Row],[2016]],3),"0.0")</f>
        <v>post-semis_procurement_archetype_12.6</v>
      </c>
      <c r="B79" s="4">
        <f t="shared" si="13"/>
        <v>12.6</v>
      </c>
      <c r="C79" s="4">
        <f t="shared" si="15"/>
        <v>12.6</v>
      </c>
      <c r="D79" s="4">
        <f t="shared" si="15"/>
        <v>12.6</v>
      </c>
      <c r="E79" s="4">
        <f t="shared" si="15"/>
        <v>12.2716854416445</v>
      </c>
      <c r="F79" s="4">
        <f t="shared" si="15"/>
        <v>11.4779658491065</v>
      </c>
      <c r="G79" s="4">
        <f t="shared" si="15"/>
        <v>11.5889297882679</v>
      </c>
      <c r="H79" s="4">
        <f t="shared" si="15"/>
        <v>11.2444078189133</v>
      </c>
      <c r="I79" s="4">
        <f t="shared" si="15"/>
        <v>10.5779538660795</v>
      </c>
      <c r="J79" s="4">
        <f t="shared" si="15"/>
        <v>10.2035734809092</v>
      </c>
      <c r="K79" s="4">
        <f t="shared" si="15"/>
        <v>9.81926410072937</v>
      </c>
      <c r="L79" s="4">
        <f t="shared" si="15"/>
        <v>9.21220245751262</v>
      </c>
      <c r="M79" s="4">
        <f t="shared" si="15"/>
        <v>9.13852404520137</v>
      </c>
      <c r="N79" s="4">
        <f t="shared" si="15"/>
        <v>8.64111169626955</v>
      </c>
      <c r="O79" s="4">
        <f t="shared" si="15"/>
        <v>8.12533645298048</v>
      </c>
      <c r="P79" s="4">
        <f t="shared" si="15"/>
        <v>7.51558336719074</v>
      </c>
      <c r="Q79" s="4">
        <f t="shared" si="15"/>
        <v>6.53105417581583</v>
      </c>
      <c r="R79" s="4">
        <f t="shared" si="15"/>
        <v>5.20289303555623</v>
      </c>
      <c r="S79" s="4">
        <f t="shared" si="14"/>
        <v>4.7793398311599</v>
      </c>
      <c r="T79" s="4">
        <f t="shared" si="14"/>
        <v>3.8586543926034</v>
      </c>
      <c r="U79" s="4">
        <f t="shared" si="14"/>
        <v>2.93081623833942</v>
      </c>
      <c r="V79" s="4">
        <f t="shared" si="14"/>
        <v>2.74362260006647</v>
      </c>
      <c r="W79" s="4">
        <f t="shared" si="14"/>
        <v>2.17879700382186</v>
      </c>
      <c r="X79" s="4">
        <f t="shared" si="14"/>
        <v>1.89217991947789</v>
      </c>
      <c r="Y79" s="4">
        <f t="shared" si="14"/>
        <v>1.59405008803576</v>
      </c>
      <c r="Z79" s="4">
        <f t="shared" si="14"/>
        <v>1.54746407176597</v>
      </c>
      <c r="AA79" s="4">
        <f t="shared" si="14"/>
        <v>1.40491966922005</v>
      </c>
      <c r="AB79" s="4">
        <f t="shared" si="14"/>
        <v>1.19677456123557</v>
      </c>
      <c r="AC79" s="4">
        <f t="shared" si="14"/>
        <v>1.02629729439785</v>
      </c>
      <c r="AD79" s="4">
        <f t="shared" si="14"/>
        <v>0.998101729611416</v>
      </c>
      <c r="AE79" s="4">
        <f t="shared" si="14"/>
        <v>0.883116877261531</v>
      </c>
      <c r="AF79" s="4">
        <f t="shared" si="14"/>
        <v>0.80665754817474</v>
      </c>
      <c r="AG79" s="4">
        <f t="shared" si="14"/>
        <v>0.749318527046435</v>
      </c>
      <c r="AH79" s="4">
        <f t="shared" si="8"/>
        <v>0.534455875090302</v>
      </c>
      <c r="AI79" s="4">
        <f t="shared" si="8"/>
        <v>0.413210215657539</v>
      </c>
      <c r="AJ79" s="4">
        <f t="shared" si="8"/>
        <v>0.355401965334779</v>
      </c>
    </row>
    <row r="80" spans="1:36">
      <c r="A80" t="str">
        <f>"post-semis_procurement_archetype_"&amp;TEXT(ROUND(Table2691617[[#This Row],[2016]],3),"0.0")</f>
        <v>post-semis_procurement_archetype_12.5</v>
      </c>
      <c r="B80" s="4">
        <f t="shared" si="13"/>
        <v>12.5</v>
      </c>
      <c r="C80" s="4">
        <f t="shared" si="15"/>
        <v>12.5</v>
      </c>
      <c r="D80" s="4">
        <f t="shared" si="15"/>
        <v>12.5</v>
      </c>
      <c r="E80" s="4">
        <f t="shared" si="15"/>
        <v>12.1743667428798</v>
      </c>
      <c r="F80" s="4">
        <f t="shared" si="15"/>
        <v>11.3871293524548</v>
      </c>
      <c r="G80" s="4">
        <f t="shared" si="15"/>
        <v>11.4971870639161</v>
      </c>
      <c r="H80" s="4">
        <f t="shared" si="15"/>
        <v>11.155478759562</v>
      </c>
      <c r="I80" s="4">
        <f t="shared" si="15"/>
        <v>10.4944676473257</v>
      </c>
      <c r="J80" s="4">
        <f t="shared" si="15"/>
        <v>10.1231447768578</v>
      </c>
      <c r="K80" s="4">
        <f t="shared" si="15"/>
        <v>9.74197400015929</v>
      </c>
      <c r="L80" s="4">
        <f t="shared" si="15"/>
        <v>9.13987014846414</v>
      </c>
      <c r="M80" s="4">
        <f t="shared" si="15"/>
        <v>9.06679345792524</v>
      </c>
      <c r="N80" s="4">
        <f t="shared" si="15"/>
        <v>8.57344340934435</v>
      </c>
      <c r="O80" s="4">
        <f t="shared" si="15"/>
        <v>8.06188043371673</v>
      </c>
      <c r="P80" s="4">
        <f t="shared" si="15"/>
        <v>7.45710712010133</v>
      </c>
      <c r="Q80" s="4">
        <f t="shared" si="15"/>
        <v>6.48061844739912</v>
      </c>
      <c r="R80" s="4">
        <f t="shared" si="15"/>
        <v>5.1633042221342</v>
      </c>
      <c r="S80" s="4">
        <f t="shared" si="14"/>
        <v>4.74321012030046</v>
      </c>
      <c r="T80" s="4">
        <f t="shared" si="14"/>
        <v>3.83004379699748</v>
      </c>
      <c r="U80" s="4">
        <f t="shared" si="14"/>
        <v>2.90978317326278</v>
      </c>
      <c r="V80" s="4">
        <f t="shared" si="14"/>
        <v>2.72411832048155</v>
      </c>
      <c r="W80" s="4">
        <f t="shared" si="14"/>
        <v>2.16390557959279</v>
      </c>
      <c r="X80" s="4">
        <f t="shared" si="14"/>
        <v>1.8796292587719</v>
      </c>
      <c r="Y80" s="4">
        <f t="shared" si="14"/>
        <v>1.58393421392381</v>
      </c>
      <c r="Z80" s="4">
        <f t="shared" si="14"/>
        <v>1.53772865943919</v>
      </c>
      <c r="AA80" s="4">
        <f t="shared" si="14"/>
        <v>1.39634839802834</v>
      </c>
      <c r="AB80" s="4">
        <f t="shared" si="14"/>
        <v>1.18990318339598</v>
      </c>
      <c r="AC80" s="4">
        <f t="shared" si="14"/>
        <v>1.02081818167268</v>
      </c>
      <c r="AD80" s="4">
        <f t="shared" si="14"/>
        <v>0.992852886305518</v>
      </c>
      <c r="AE80" s="4">
        <f t="shared" si="14"/>
        <v>0.878807099917818</v>
      </c>
      <c r="AF80" s="4">
        <f t="shared" si="14"/>
        <v>0.802972203979998</v>
      </c>
      <c r="AG80" s="4">
        <f t="shared" si="14"/>
        <v>0.746101462994218</v>
      </c>
      <c r="AH80" s="4">
        <f t="shared" si="8"/>
        <v>0.532993565676399</v>
      </c>
      <c r="AI80" s="4">
        <f t="shared" si="8"/>
        <v>0.412738103382729</v>
      </c>
      <c r="AJ80" s="4">
        <f t="shared" si="8"/>
        <v>0.355401965334779</v>
      </c>
    </row>
    <row r="81" spans="1:36">
      <c r="A81" t="str">
        <f>"post-semis_procurement_archetype_"&amp;TEXT(ROUND(Table2691617[[#This Row],[2016]],3),"0.0")</f>
        <v>post-semis_procurement_archetype_12.4</v>
      </c>
      <c r="B81" s="4">
        <f t="shared" si="13"/>
        <v>12.4</v>
      </c>
      <c r="C81" s="4">
        <f t="shared" si="15"/>
        <v>12.4</v>
      </c>
      <c r="D81" s="4">
        <f t="shared" si="15"/>
        <v>12.4</v>
      </c>
      <c r="E81" s="4">
        <f t="shared" si="15"/>
        <v>12.077048044115</v>
      </c>
      <c r="F81" s="4">
        <f t="shared" si="15"/>
        <v>11.2962928558031</v>
      </c>
      <c r="G81" s="4">
        <f t="shared" si="15"/>
        <v>11.4054443395642</v>
      </c>
      <c r="H81" s="4">
        <f t="shared" si="15"/>
        <v>11.0665497002106</v>
      </c>
      <c r="I81" s="4">
        <f t="shared" si="15"/>
        <v>10.4109814285719</v>
      </c>
      <c r="J81" s="4">
        <f t="shared" si="15"/>
        <v>10.0427160728065</v>
      </c>
      <c r="K81" s="4">
        <f t="shared" si="15"/>
        <v>9.66468389958921</v>
      </c>
      <c r="L81" s="4">
        <f t="shared" si="15"/>
        <v>9.06753783941566</v>
      </c>
      <c r="M81" s="4">
        <f t="shared" si="15"/>
        <v>8.99506287064911</v>
      </c>
      <c r="N81" s="4">
        <f t="shared" si="15"/>
        <v>8.50577512241914</v>
      </c>
      <c r="O81" s="4">
        <f t="shared" si="15"/>
        <v>7.99842441445298</v>
      </c>
      <c r="P81" s="4">
        <f t="shared" si="15"/>
        <v>7.39863087301192</v>
      </c>
      <c r="Q81" s="4">
        <f t="shared" si="15"/>
        <v>6.43018271898241</v>
      </c>
      <c r="R81" s="4">
        <f t="shared" si="15"/>
        <v>5.12371540871217</v>
      </c>
      <c r="S81" s="4">
        <f t="shared" si="14"/>
        <v>4.70708040944102</v>
      </c>
      <c r="T81" s="4">
        <f t="shared" si="14"/>
        <v>3.80143320139156</v>
      </c>
      <c r="U81" s="4">
        <f t="shared" si="14"/>
        <v>2.88875010818613</v>
      </c>
      <c r="V81" s="4">
        <f t="shared" si="14"/>
        <v>2.70461404089662</v>
      </c>
      <c r="W81" s="4">
        <f t="shared" si="14"/>
        <v>2.14901415536371</v>
      </c>
      <c r="X81" s="4">
        <f t="shared" si="14"/>
        <v>1.86707859806591</v>
      </c>
      <c r="Y81" s="4">
        <f t="shared" si="14"/>
        <v>1.57381833981186</v>
      </c>
      <c r="Z81" s="4">
        <f t="shared" si="14"/>
        <v>1.52799324711242</v>
      </c>
      <c r="AA81" s="4">
        <f t="shared" si="14"/>
        <v>1.38777712683664</v>
      </c>
      <c r="AB81" s="4">
        <f t="shared" si="14"/>
        <v>1.18303180555639</v>
      </c>
      <c r="AC81" s="4">
        <f t="shared" si="14"/>
        <v>1.01533906894751</v>
      </c>
      <c r="AD81" s="4">
        <f t="shared" si="14"/>
        <v>0.98760404299962</v>
      </c>
      <c r="AE81" s="4">
        <f t="shared" si="14"/>
        <v>0.874497322574105</v>
      </c>
      <c r="AF81" s="4">
        <f t="shared" si="14"/>
        <v>0.799286859785257</v>
      </c>
      <c r="AG81" s="4">
        <f t="shared" si="14"/>
        <v>0.742884398942001</v>
      </c>
      <c r="AH81" s="4">
        <f t="shared" si="8"/>
        <v>0.531531256262496</v>
      </c>
      <c r="AI81" s="4">
        <f t="shared" si="8"/>
        <v>0.41226599110792</v>
      </c>
      <c r="AJ81" s="4">
        <f t="shared" si="8"/>
        <v>0.355401965334779</v>
      </c>
    </row>
    <row r="82" spans="1:36">
      <c r="A82" t="str">
        <f>"post-semis_procurement_archetype_"&amp;TEXT(ROUND(Table2691617[[#This Row],[2016]],3),"0.0")</f>
        <v>post-semis_procurement_archetype_12.3</v>
      </c>
      <c r="B82" s="4">
        <f t="shared" si="13"/>
        <v>12.3</v>
      </c>
      <c r="C82" s="4">
        <f t="shared" si="15"/>
        <v>12.3</v>
      </c>
      <c r="D82" s="4">
        <f t="shared" si="15"/>
        <v>12.3</v>
      </c>
      <c r="E82" s="4">
        <f t="shared" si="15"/>
        <v>11.9797293453503</v>
      </c>
      <c r="F82" s="4">
        <f t="shared" si="15"/>
        <v>11.2054563591514</v>
      </c>
      <c r="G82" s="4">
        <f t="shared" si="15"/>
        <v>11.3137016152124</v>
      </c>
      <c r="H82" s="4">
        <f t="shared" si="15"/>
        <v>10.9776206408593</v>
      </c>
      <c r="I82" s="4">
        <f t="shared" si="15"/>
        <v>10.3274952098181</v>
      </c>
      <c r="J82" s="4">
        <f t="shared" si="15"/>
        <v>9.9622873687552</v>
      </c>
      <c r="K82" s="4">
        <f t="shared" si="15"/>
        <v>9.58739379901913</v>
      </c>
      <c r="L82" s="4">
        <f t="shared" si="15"/>
        <v>8.99520553036718</v>
      </c>
      <c r="M82" s="4">
        <f t="shared" si="15"/>
        <v>8.92333228337298</v>
      </c>
      <c r="N82" s="4">
        <f t="shared" si="15"/>
        <v>8.43810683549395</v>
      </c>
      <c r="O82" s="4">
        <f t="shared" si="15"/>
        <v>7.93496839518923</v>
      </c>
      <c r="P82" s="4">
        <f t="shared" si="15"/>
        <v>7.34015462592251</v>
      </c>
      <c r="Q82" s="4">
        <f t="shared" si="15"/>
        <v>6.37974699056571</v>
      </c>
      <c r="R82" s="4">
        <f t="shared" si="15"/>
        <v>5.08412659529013</v>
      </c>
      <c r="S82" s="4">
        <f t="shared" si="14"/>
        <v>4.67095069858158</v>
      </c>
      <c r="T82" s="4">
        <f t="shared" si="14"/>
        <v>3.77282260578564</v>
      </c>
      <c r="U82" s="4">
        <f t="shared" si="14"/>
        <v>2.86771704310949</v>
      </c>
      <c r="V82" s="4">
        <f t="shared" si="14"/>
        <v>2.68510976131169</v>
      </c>
      <c r="W82" s="4">
        <f t="shared" si="14"/>
        <v>2.13412273113464</v>
      </c>
      <c r="X82" s="4">
        <f t="shared" si="14"/>
        <v>1.85452793735992</v>
      </c>
      <c r="Y82" s="4">
        <f t="shared" si="14"/>
        <v>1.56370246569991</v>
      </c>
      <c r="Z82" s="4">
        <f t="shared" si="14"/>
        <v>1.51825783478564</v>
      </c>
      <c r="AA82" s="4">
        <f t="shared" si="14"/>
        <v>1.37920585564493</v>
      </c>
      <c r="AB82" s="4">
        <f t="shared" si="14"/>
        <v>1.1761604277168</v>
      </c>
      <c r="AC82" s="4">
        <f t="shared" si="14"/>
        <v>1.00985995622234</v>
      </c>
      <c r="AD82" s="4">
        <f t="shared" si="14"/>
        <v>0.982355199693722</v>
      </c>
      <c r="AE82" s="4">
        <f t="shared" si="14"/>
        <v>0.870187545230392</v>
      </c>
      <c r="AF82" s="4">
        <f t="shared" si="14"/>
        <v>0.795601515590515</v>
      </c>
      <c r="AG82" s="4">
        <f t="shared" si="14"/>
        <v>0.739667334889784</v>
      </c>
      <c r="AH82" s="4">
        <f t="shared" si="8"/>
        <v>0.530068946848592</v>
      </c>
      <c r="AI82" s="4">
        <f t="shared" ref="AI82:AJ82" si="16">(($B82-$AJ$2)*((AI$2-$AJ$2)/($B$2-$AJ$2)))+$AJ$2</f>
        <v>0.41179387883311</v>
      </c>
      <c r="AJ82" s="4">
        <f t="shared" si="16"/>
        <v>0.355401965334779</v>
      </c>
    </row>
    <row r="83" spans="1:36">
      <c r="A83" t="str">
        <f>"post-semis_procurement_archetype_"&amp;TEXT(ROUND(Table2691617[[#This Row],[2016]],3),"0.0")</f>
        <v>post-semis_procurement_archetype_12.2</v>
      </c>
      <c r="B83" s="4">
        <f t="shared" si="13"/>
        <v>12.2</v>
      </c>
      <c r="C83" s="4">
        <f t="shared" si="15"/>
        <v>12.2</v>
      </c>
      <c r="D83" s="4">
        <f t="shared" si="15"/>
        <v>12.2</v>
      </c>
      <c r="E83" s="4">
        <f t="shared" si="15"/>
        <v>11.8824106465855</v>
      </c>
      <c r="F83" s="4">
        <f t="shared" si="15"/>
        <v>11.1146198624997</v>
      </c>
      <c r="G83" s="4">
        <f t="shared" si="15"/>
        <v>11.2219588908606</v>
      </c>
      <c r="H83" s="4">
        <f t="shared" si="15"/>
        <v>10.888691581508</v>
      </c>
      <c r="I83" s="4">
        <f t="shared" si="15"/>
        <v>10.2440089910643</v>
      </c>
      <c r="J83" s="4">
        <f t="shared" si="15"/>
        <v>9.88185866470389</v>
      </c>
      <c r="K83" s="4">
        <f t="shared" si="15"/>
        <v>9.51010369844905</v>
      </c>
      <c r="L83" s="4">
        <f t="shared" si="15"/>
        <v>8.92287322131871</v>
      </c>
      <c r="M83" s="4">
        <f t="shared" si="15"/>
        <v>8.85160169609686</v>
      </c>
      <c r="N83" s="4">
        <f t="shared" si="15"/>
        <v>8.37043854856874</v>
      </c>
      <c r="O83" s="4">
        <f t="shared" si="15"/>
        <v>7.87151237592548</v>
      </c>
      <c r="P83" s="4">
        <f t="shared" si="15"/>
        <v>7.2816783788331</v>
      </c>
      <c r="Q83" s="4">
        <f t="shared" si="15"/>
        <v>6.329311262149</v>
      </c>
      <c r="R83" s="4">
        <f t="shared" si="15"/>
        <v>5.0445377818681</v>
      </c>
      <c r="S83" s="4">
        <f t="shared" si="14"/>
        <v>4.63482098772215</v>
      </c>
      <c r="T83" s="4">
        <f t="shared" si="14"/>
        <v>3.74421201017972</v>
      </c>
      <c r="U83" s="4">
        <f t="shared" si="14"/>
        <v>2.84668397803284</v>
      </c>
      <c r="V83" s="4">
        <f t="shared" si="14"/>
        <v>2.66560548172676</v>
      </c>
      <c r="W83" s="4">
        <f t="shared" si="14"/>
        <v>2.11923130690556</v>
      </c>
      <c r="X83" s="4">
        <f t="shared" si="14"/>
        <v>1.84197727665393</v>
      </c>
      <c r="Y83" s="4">
        <f t="shared" si="14"/>
        <v>1.55358659158796</v>
      </c>
      <c r="Z83" s="4">
        <f t="shared" si="14"/>
        <v>1.50852242245886</v>
      </c>
      <c r="AA83" s="4">
        <f t="shared" si="14"/>
        <v>1.37063458445323</v>
      </c>
      <c r="AB83" s="4">
        <f t="shared" si="14"/>
        <v>1.16928904987721</v>
      </c>
      <c r="AC83" s="4">
        <f t="shared" si="14"/>
        <v>1.00438084349717</v>
      </c>
      <c r="AD83" s="4">
        <f t="shared" si="14"/>
        <v>0.977106356387824</v>
      </c>
      <c r="AE83" s="4">
        <f t="shared" si="14"/>
        <v>0.865877767886678</v>
      </c>
      <c r="AF83" s="4">
        <f t="shared" si="14"/>
        <v>0.791916171395774</v>
      </c>
      <c r="AG83" s="4">
        <f t="shared" si="14"/>
        <v>0.736450270837568</v>
      </c>
      <c r="AH83" s="4">
        <f t="shared" ref="AH83:AJ146" si="17">(($B83-$AJ$2)*((AH$2-$AJ$2)/($B$2-$AJ$2)))+$AJ$2</f>
        <v>0.528606637434689</v>
      </c>
      <c r="AI83" s="4">
        <f t="shared" si="17"/>
        <v>0.4113217665583</v>
      </c>
      <c r="AJ83" s="4">
        <f t="shared" si="17"/>
        <v>0.355401965334779</v>
      </c>
    </row>
    <row r="84" spans="1:36">
      <c r="A84" t="str">
        <f>"post-semis_procurement_archetype_"&amp;TEXT(ROUND(Table2691617[[#This Row],[2016]],3),"0.0")</f>
        <v>post-semis_procurement_archetype_12.1</v>
      </c>
      <c r="B84" s="4">
        <f t="shared" si="13"/>
        <v>12.1</v>
      </c>
      <c r="C84" s="4">
        <f t="shared" si="15"/>
        <v>12.1</v>
      </c>
      <c r="D84" s="4">
        <f t="shared" si="15"/>
        <v>12.1</v>
      </c>
      <c r="E84" s="4">
        <f t="shared" si="15"/>
        <v>11.7850919478208</v>
      </c>
      <c r="F84" s="4">
        <f t="shared" si="15"/>
        <v>11.023783365848</v>
      </c>
      <c r="G84" s="4">
        <f t="shared" si="15"/>
        <v>11.1302161665087</v>
      </c>
      <c r="H84" s="4">
        <f t="shared" si="15"/>
        <v>10.7997625221567</v>
      </c>
      <c r="I84" s="4">
        <f t="shared" si="15"/>
        <v>10.1605227723105</v>
      </c>
      <c r="J84" s="4">
        <f t="shared" si="15"/>
        <v>9.80142996065257</v>
      </c>
      <c r="K84" s="4">
        <f t="shared" si="15"/>
        <v>9.43281359787898</v>
      </c>
      <c r="L84" s="4">
        <f t="shared" si="15"/>
        <v>8.85054091227023</v>
      </c>
      <c r="M84" s="4">
        <f t="shared" si="15"/>
        <v>8.77987110882073</v>
      </c>
      <c r="N84" s="4">
        <f t="shared" si="15"/>
        <v>8.30277026164354</v>
      </c>
      <c r="O84" s="4">
        <f t="shared" si="15"/>
        <v>7.80805635666174</v>
      </c>
      <c r="P84" s="4">
        <f t="shared" si="15"/>
        <v>7.22320213174369</v>
      </c>
      <c r="Q84" s="4">
        <f t="shared" si="15"/>
        <v>6.2788755337323</v>
      </c>
      <c r="R84" s="4">
        <f t="shared" si="15"/>
        <v>5.00494896844607</v>
      </c>
      <c r="S84" s="4">
        <f t="shared" si="14"/>
        <v>4.59869127686271</v>
      </c>
      <c r="T84" s="4">
        <f t="shared" si="14"/>
        <v>3.7156014145738</v>
      </c>
      <c r="U84" s="4">
        <f t="shared" si="14"/>
        <v>2.8256509129562</v>
      </c>
      <c r="V84" s="4">
        <f t="shared" si="14"/>
        <v>2.64610120214183</v>
      </c>
      <c r="W84" s="4">
        <f t="shared" si="14"/>
        <v>2.10433988267648</v>
      </c>
      <c r="X84" s="4">
        <f t="shared" si="14"/>
        <v>1.82942661594794</v>
      </c>
      <c r="Y84" s="4">
        <f t="shared" si="14"/>
        <v>1.54347071747601</v>
      </c>
      <c r="Z84" s="4">
        <f t="shared" si="14"/>
        <v>1.49878701013208</v>
      </c>
      <c r="AA84" s="4">
        <f t="shared" si="14"/>
        <v>1.36206331326152</v>
      </c>
      <c r="AB84" s="4">
        <f t="shared" si="14"/>
        <v>1.16241767203762</v>
      </c>
      <c r="AC84" s="4">
        <f t="shared" si="14"/>
        <v>0.998901730772005</v>
      </c>
      <c r="AD84" s="4">
        <f t="shared" si="14"/>
        <v>0.971857513081926</v>
      </c>
      <c r="AE84" s="4">
        <f t="shared" si="14"/>
        <v>0.861567990542965</v>
      </c>
      <c r="AF84" s="4">
        <f t="shared" si="14"/>
        <v>0.788230827201032</v>
      </c>
      <c r="AG84" s="4">
        <f t="shared" si="14"/>
        <v>0.733233206785351</v>
      </c>
      <c r="AH84" s="4">
        <f t="shared" si="17"/>
        <v>0.527144328020786</v>
      </c>
      <c r="AI84" s="4">
        <f t="shared" si="17"/>
        <v>0.410849654283491</v>
      </c>
      <c r="AJ84" s="4">
        <f t="shared" si="17"/>
        <v>0.355401965334779</v>
      </c>
    </row>
    <row r="85" spans="1:36">
      <c r="A85" t="str">
        <f>"post-semis_procurement_archetype_"&amp;TEXT(ROUND(Table2691617[[#This Row],[2016]],3),"0.0")</f>
        <v>post-semis_procurement_archetype_12.0</v>
      </c>
      <c r="B85" s="4">
        <f t="shared" si="13"/>
        <v>12</v>
      </c>
      <c r="C85" s="4">
        <f t="shared" si="15"/>
        <v>12</v>
      </c>
      <c r="D85" s="4">
        <f t="shared" si="15"/>
        <v>12</v>
      </c>
      <c r="E85" s="4">
        <f t="shared" si="15"/>
        <v>11.687773249056</v>
      </c>
      <c r="F85" s="4">
        <f t="shared" si="15"/>
        <v>10.9329468691963</v>
      </c>
      <c r="G85" s="4">
        <f t="shared" si="15"/>
        <v>11.0384734421569</v>
      </c>
      <c r="H85" s="4">
        <f t="shared" si="15"/>
        <v>10.7108334628053</v>
      </c>
      <c r="I85" s="4">
        <f t="shared" si="15"/>
        <v>10.0770365535567</v>
      </c>
      <c r="J85" s="4">
        <f t="shared" si="15"/>
        <v>9.72100125660125</v>
      </c>
      <c r="K85" s="4">
        <f t="shared" si="15"/>
        <v>9.3555234973089</v>
      </c>
      <c r="L85" s="4">
        <f t="shared" si="15"/>
        <v>8.77820860322175</v>
      </c>
      <c r="M85" s="4">
        <f t="shared" si="15"/>
        <v>8.7081405215446</v>
      </c>
      <c r="N85" s="4">
        <f t="shared" si="15"/>
        <v>8.23510197471834</v>
      </c>
      <c r="O85" s="4">
        <f t="shared" si="15"/>
        <v>7.74460033739799</v>
      </c>
      <c r="P85" s="4">
        <f t="shared" si="15"/>
        <v>7.16472588465428</v>
      </c>
      <c r="Q85" s="4">
        <f t="shared" si="15"/>
        <v>6.22843980531559</v>
      </c>
      <c r="R85" s="4">
        <f t="shared" si="15"/>
        <v>4.96536015502404</v>
      </c>
      <c r="S85" s="4">
        <f t="shared" si="14"/>
        <v>4.56256156600327</v>
      </c>
      <c r="T85" s="4">
        <f t="shared" si="14"/>
        <v>3.68699081896787</v>
      </c>
      <c r="U85" s="4">
        <f t="shared" si="14"/>
        <v>2.80461784787955</v>
      </c>
      <c r="V85" s="4">
        <f t="shared" si="14"/>
        <v>2.62659692255691</v>
      </c>
      <c r="W85" s="4">
        <f t="shared" si="14"/>
        <v>2.08944845844741</v>
      </c>
      <c r="X85" s="4">
        <f t="shared" si="14"/>
        <v>1.81687595524195</v>
      </c>
      <c r="Y85" s="4">
        <f t="shared" si="14"/>
        <v>1.53335484336406</v>
      </c>
      <c r="Z85" s="4">
        <f t="shared" si="14"/>
        <v>1.4890515978053</v>
      </c>
      <c r="AA85" s="4">
        <f t="shared" si="14"/>
        <v>1.35349204206982</v>
      </c>
      <c r="AB85" s="4">
        <f t="shared" si="14"/>
        <v>1.15554629419803</v>
      </c>
      <c r="AC85" s="4">
        <f t="shared" si="14"/>
        <v>0.993422618046836</v>
      </c>
      <c r="AD85" s="4">
        <f t="shared" si="14"/>
        <v>0.966608669776028</v>
      </c>
      <c r="AE85" s="4">
        <f t="shared" si="14"/>
        <v>0.857258213199252</v>
      </c>
      <c r="AF85" s="4">
        <f t="shared" si="14"/>
        <v>0.784545483006291</v>
      </c>
      <c r="AG85" s="4">
        <f t="shared" si="14"/>
        <v>0.730016142733134</v>
      </c>
      <c r="AH85" s="4">
        <f t="shared" si="17"/>
        <v>0.525682018606883</v>
      </c>
      <c r="AI85" s="4">
        <f t="shared" si="17"/>
        <v>0.410377542008681</v>
      </c>
      <c r="AJ85" s="4">
        <f t="shared" si="17"/>
        <v>0.355401965334779</v>
      </c>
    </row>
    <row r="86" spans="1:36">
      <c r="A86" t="str">
        <f>"post-semis_procurement_archetype_"&amp;TEXT(ROUND(Table2691617[[#This Row],[2016]],3),"0.0")</f>
        <v>post-semis_procurement_archetype_11.9</v>
      </c>
      <c r="B86" s="4">
        <f t="shared" si="13"/>
        <v>11.9</v>
      </c>
      <c r="C86" s="4">
        <f t="shared" si="15"/>
        <v>11.9</v>
      </c>
      <c r="D86" s="4">
        <f t="shared" si="15"/>
        <v>11.9</v>
      </c>
      <c r="E86" s="4">
        <f t="shared" si="15"/>
        <v>11.5904545502913</v>
      </c>
      <c r="F86" s="4">
        <f t="shared" si="15"/>
        <v>10.8421103725447</v>
      </c>
      <c r="G86" s="4">
        <f t="shared" si="15"/>
        <v>10.9467307178051</v>
      </c>
      <c r="H86" s="4">
        <f t="shared" si="15"/>
        <v>10.621904403454</v>
      </c>
      <c r="I86" s="4">
        <f t="shared" si="15"/>
        <v>9.99355033480285</v>
      </c>
      <c r="J86" s="4">
        <f t="shared" si="15"/>
        <v>9.64057255254993</v>
      </c>
      <c r="K86" s="4">
        <f t="shared" si="15"/>
        <v>9.27823339673882</v>
      </c>
      <c r="L86" s="4">
        <f t="shared" si="15"/>
        <v>8.70587629417327</v>
      </c>
      <c r="M86" s="4">
        <f t="shared" si="15"/>
        <v>8.63640993426847</v>
      </c>
      <c r="N86" s="4">
        <f t="shared" si="15"/>
        <v>8.16743368779314</v>
      </c>
      <c r="O86" s="4">
        <f t="shared" si="15"/>
        <v>7.68114431813424</v>
      </c>
      <c r="P86" s="4">
        <f t="shared" si="15"/>
        <v>7.10624963756487</v>
      </c>
      <c r="Q86" s="4">
        <f t="shared" si="15"/>
        <v>6.17800407689889</v>
      </c>
      <c r="R86" s="4">
        <f t="shared" si="15"/>
        <v>4.925771341602</v>
      </c>
      <c r="S86" s="4">
        <f t="shared" si="14"/>
        <v>4.52643185514383</v>
      </c>
      <c r="T86" s="4">
        <f t="shared" si="14"/>
        <v>3.65838022336195</v>
      </c>
      <c r="U86" s="4">
        <f t="shared" si="14"/>
        <v>2.78358478280291</v>
      </c>
      <c r="V86" s="4">
        <f t="shared" si="14"/>
        <v>2.60709264297198</v>
      </c>
      <c r="W86" s="4">
        <f t="shared" si="14"/>
        <v>2.07455703421833</v>
      </c>
      <c r="X86" s="4">
        <f t="shared" si="14"/>
        <v>1.80432529453596</v>
      </c>
      <c r="Y86" s="4">
        <f t="shared" si="14"/>
        <v>1.52323896925211</v>
      </c>
      <c r="Z86" s="4">
        <f t="shared" si="14"/>
        <v>1.47931618547853</v>
      </c>
      <c r="AA86" s="4">
        <f t="shared" si="14"/>
        <v>1.34492077087812</v>
      </c>
      <c r="AB86" s="4">
        <f t="shared" si="14"/>
        <v>1.14867491635844</v>
      </c>
      <c r="AC86" s="4">
        <f t="shared" si="14"/>
        <v>0.987943505321668</v>
      </c>
      <c r="AD86" s="4">
        <f t="shared" si="14"/>
        <v>0.96135982647013</v>
      </c>
      <c r="AE86" s="4">
        <f t="shared" si="14"/>
        <v>0.852948435855539</v>
      </c>
      <c r="AF86" s="4">
        <f t="shared" si="14"/>
        <v>0.780860138811549</v>
      </c>
      <c r="AG86" s="4">
        <f t="shared" si="14"/>
        <v>0.726799078680917</v>
      </c>
      <c r="AH86" s="4">
        <f t="shared" si="17"/>
        <v>0.524219709192979</v>
      </c>
      <c r="AI86" s="4">
        <f t="shared" si="17"/>
        <v>0.409905429733871</v>
      </c>
      <c r="AJ86" s="4">
        <f t="shared" si="17"/>
        <v>0.355401965334779</v>
      </c>
    </row>
    <row r="87" spans="1:36">
      <c r="A87" t="str">
        <f>"post-semis_procurement_archetype_"&amp;TEXT(ROUND(Table2691617[[#This Row],[2016]],3),"0.0")</f>
        <v>post-semis_procurement_archetype_11.8</v>
      </c>
      <c r="B87" s="4">
        <f t="shared" si="13"/>
        <v>11.8</v>
      </c>
      <c r="C87" s="4">
        <f t="shared" si="15"/>
        <v>11.8</v>
      </c>
      <c r="D87" s="4">
        <f t="shared" si="15"/>
        <v>11.8</v>
      </c>
      <c r="E87" s="4">
        <f t="shared" si="15"/>
        <v>11.4931358515266</v>
      </c>
      <c r="F87" s="4">
        <f t="shared" si="15"/>
        <v>10.751273875893</v>
      </c>
      <c r="G87" s="4">
        <f t="shared" si="15"/>
        <v>10.8549879934532</v>
      </c>
      <c r="H87" s="4">
        <f t="shared" si="15"/>
        <v>10.5329753441027</v>
      </c>
      <c r="I87" s="4">
        <f t="shared" si="15"/>
        <v>9.91006411604904</v>
      </c>
      <c r="J87" s="4">
        <f t="shared" si="15"/>
        <v>9.56014384849861</v>
      </c>
      <c r="K87" s="4">
        <f t="shared" si="15"/>
        <v>9.20094329616874</v>
      </c>
      <c r="L87" s="4">
        <f t="shared" si="15"/>
        <v>8.6335439851248</v>
      </c>
      <c r="M87" s="4">
        <f t="shared" si="15"/>
        <v>8.56467934699234</v>
      </c>
      <c r="N87" s="4">
        <f t="shared" si="15"/>
        <v>8.09976540086794</v>
      </c>
      <c r="O87" s="4">
        <f t="shared" si="15"/>
        <v>7.61768829887049</v>
      </c>
      <c r="P87" s="4">
        <f t="shared" si="15"/>
        <v>7.04777339047546</v>
      </c>
      <c r="Q87" s="4">
        <f t="shared" si="15"/>
        <v>6.12756834848218</v>
      </c>
      <c r="R87" s="4">
        <f t="shared" si="15"/>
        <v>4.88618252817997</v>
      </c>
      <c r="S87" s="4">
        <f t="shared" si="14"/>
        <v>4.49030214428439</v>
      </c>
      <c r="T87" s="4">
        <f t="shared" si="14"/>
        <v>3.62976962775603</v>
      </c>
      <c r="U87" s="4">
        <f t="shared" si="14"/>
        <v>2.76255171772627</v>
      </c>
      <c r="V87" s="4">
        <f t="shared" si="14"/>
        <v>2.58758836338705</v>
      </c>
      <c r="W87" s="4">
        <f t="shared" si="14"/>
        <v>2.05966560998926</v>
      </c>
      <c r="X87" s="4">
        <f t="shared" si="14"/>
        <v>1.79177463382997</v>
      </c>
      <c r="Y87" s="4">
        <f t="shared" si="14"/>
        <v>1.51312309514016</v>
      </c>
      <c r="Z87" s="4">
        <f t="shared" si="14"/>
        <v>1.46958077315175</v>
      </c>
      <c r="AA87" s="4">
        <f t="shared" si="14"/>
        <v>1.33634949968641</v>
      </c>
      <c r="AB87" s="4">
        <f t="shared" si="14"/>
        <v>1.14180353851885</v>
      </c>
      <c r="AC87" s="4">
        <f t="shared" si="14"/>
        <v>0.982464392596499</v>
      </c>
      <c r="AD87" s="4">
        <f t="shared" si="14"/>
        <v>0.956110983164232</v>
      </c>
      <c r="AE87" s="4">
        <f t="shared" si="14"/>
        <v>0.848638658511826</v>
      </c>
      <c r="AF87" s="4">
        <f t="shared" si="14"/>
        <v>0.777174794616808</v>
      </c>
      <c r="AG87" s="4">
        <f t="shared" si="14"/>
        <v>0.7235820146287</v>
      </c>
      <c r="AH87" s="4">
        <f t="shared" si="17"/>
        <v>0.522757399779076</v>
      </c>
      <c r="AI87" s="4">
        <f t="shared" si="17"/>
        <v>0.409433317459062</v>
      </c>
      <c r="AJ87" s="4">
        <f t="shared" si="17"/>
        <v>0.355401965334779</v>
      </c>
    </row>
    <row r="88" spans="1:36">
      <c r="A88" t="str">
        <f>"post-semis_procurement_archetype_"&amp;TEXT(ROUND(Table2691617[[#This Row],[2016]],3),"0.0")</f>
        <v>post-semis_procurement_archetype_11.7</v>
      </c>
      <c r="B88" s="4">
        <f t="shared" si="13"/>
        <v>11.7</v>
      </c>
      <c r="C88" s="4">
        <f t="shared" si="15"/>
        <v>11.7</v>
      </c>
      <c r="D88" s="4">
        <f t="shared" si="15"/>
        <v>11.7</v>
      </c>
      <c r="E88" s="4">
        <f t="shared" si="15"/>
        <v>11.3958171527618</v>
      </c>
      <c r="F88" s="4">
        <f t="shared" si="15"/>
        <v>10.6604373792413</v>
      </c>
      <c r="G88" s="4">
        <f t="shared" si="15"/>
        <v>10.7632452691014</v>
      </c>
      <c r="H88" s="4">
        <f t="shared" si="15"/>
        <v>10.4440462847514</v>
      </c>
      <c r="I88" s="4">
        <f t="shared" si="15"/>
        <v>9.82657789729524</v>
      </c>
      <c r="J88" s="4">
        <f t="shared" si="15"/>
        <v>9.4797151444473</v>
      </c>
      <c r="K88" s="4">
        <f t="shared" si="15"/>
        <v>9.12365319559866</v>
      </c>
      <c r="L88" s="4">
        <f t="shared" si="15"/>
        <v>8.56121167607632</v>
      </c>
      <c r="M88" s="4">
        <f t="shared" si="15"/>
        <v>8.49294875971622</v>
      </c>
      <c r="N88" s="4">
        <f t="shared" si="15"/>
        <v>8.03209711394274</v>
      </c>
      <c r="O88" s="4">
        <f t="shared" si="15"/>
        <v>7.55423227960674</v>
      </c>
      <c r="P88" s="4">
        <f t="shared" si="15"/>
        <v>6.98929714338605</v>
      </c>
      <c r="Q88" s="4">
        <f t="shared" si="15"/>
        <v>6.07713262006547</v>
      </c>
      <c r="R88" s="4">
        <f t="shared" si="15"/>
        <v>4.84659371475794</v>
      </c>
      <c r="S88" s="4">
        <f t="shared" si="14"/>
        <v>4.45417243342495</v>
      </c>
      <c r="T88" s="4">
        <f t="shared" si="14"/>
        <v>3.60115903215011</v>
      </c>
      <c r="U88" s="4">
        <f t="shared" si="14"/>
        <v>2.74151865264962</v>
      </c>
      <c r="V88" s="4">
        <f t="shared" si="14"/>
        <v>2.56808408380212</v>
      </c>
      <c r="W88" s="4">
        <f t="shared" si="14"/>
        <v>2.04477418576018</v>
      </c>
      <c r="X88" s="4">
        <f t="shared" si="14"/>
        <v>1.77922397312398</v>
      </c>
      <c r="Y88" s="4">
        <f t="shared" si="14"/>
        <v>1.50300722102821</v>
      </c>
      <c r="Z88" s="4">
        <f t="shared" si="14"/>
        <v>1.45984536082497</v>
      </c>
      <c r="AA88" s="4">
        <f t="shared" si="14"/>
        <v>1.32777822849471</v>
      </c>
      <c r="AB88" s="4">
        <f t="shared" si="14"/>
        <v>1.13493216067926</v>
      </c>
      <c r="AC88" s="4">
        <f t="shared" si="14"/>
        <v>0.976985279871331</v>
      </c>
      <c r="AD88" s="4">
        <f t="shared" si="14"/>
        <v>0.950862139858334</v>
      </c>
      <c r="AE88" s="4">
        <f t="shared" si="14"/>
        <v>0.844328881168112</v>
      </c>
      <c r="AF88" s="4">
        <f t="shared" si="14"/>
        <v>0.773489450422067</v>
      </c>
      <c r="AG88" s="4">
        <f t="shared" si="14"/>
        <v>0.720364950576484</v>
      </c>
      <c r="AH88" s="4">
        <f t="shared" si="17"/>
        <v>0.521295090365173</v>
      </c>
      <c r="AI88" s="4">
        <f t="shared" si="17"/>
        <v>0.408961205184252</v>
      </c>
      <c r="AJ88" s="4">
        <f t="shared" si="17"/>
        <v>0.355401965334779</v>
      </c>
    </row>
    <row r="89" spans="1:36">
      <c r="A89" t="str">
        <f>"post-semis_procurement_archetype_"&amp;TEXT(ROUND(Table2691617[[#This Row],[2016]],3),"0.0")</f>
        <v>post-semis_procurement_archetype_11.6</v>
      </c>
      <c r="B89" s="4">
        <f t="shared" si="13"/>
        <v>11.6</v>
      </c>
      <c r="C89" s="4">
        <f t="shared" si="15"/>
        <v>11.6</v>
      </c>
      <c r="D89" s="4">
        <f t="shared" si="15"/>
        <v>11.6</v>
      </c>
      <c r="E89" s="4">
        <f t="shared" si="15"/>
        <v>11.2984984539971</v>
      </c>
      <c r="F89" s="4">
        <f t="shared" si="15"/>
        <v>10.5696008825896</v>
      </c>
      <c r="G89" s="4">
        <f t="shared" si="15"/>
        <v>10.6715025447496</v>
      </c>
      <c r="H89" s="4">
        <f t="shared" si="15"/>
        <v>10.3551172254</v>
      </c>
      <c r="I89" s="4">
        <f t="shared" si="15"/>
        <v>9.74309167854143</v>
      </c>
      <c r="J89" s="4">
        <f t="shared" si="15"/>
        <v>9.39928644039598</v>
      </c>
      <c r="K89" s="4">
        <f t="shared" si="15"/>
        <v>9.04636309502858</v>
      </c>
      <c r="L89" s="4">
        <f t="shared" si="15"/>
        <v>8.48887936702784</v>
      </c>
      <c r="M89" s="4">
        <f t="shared" si="15"/>
        <v>8.42121817244009</v>
      </c>
      <c r="N89" s="4">
        <f t="shared" si="15"/>
        <v>7.96442882701754</v>
      </c>
      <c r="O89" s="4">
        <f t="shared" si="15"/>
        <v>7.490776260343</v>
      </c>
      <c r="P89" s="4">
        <f t="shared" si="15"/>
        <v>6.93082089629664</v>
      </c>
      <c r="Q89" s="4">
        <f t="shared" si="15"/>
        <v>6.02669689164877</v>
      </c>
      <c r="R89" s="4">
        <f t="shared" si="15"/>
        <v>4.80700490133591</v>
      </c>
      <c r="S89" s="4">
        <f t="shared" si="14"/>
        <v>4.41804272256551</v>
      </c>
      <c r="T89" s="4">
        <f t="shared" si="14"/>
        <v>3.57254843654419</v>
      </c>
      <c r="U89" s="4">
        <f t="shared" si="14"/>
        <v>2.72048558757298</v>
      </c>
      <c r="V89" s="4">
        <f t="shared" si="14"/>
        <v>2.54857980421719</v>
      </c>
      <c r="W89" s="4">
        <f t="shared" si="14"/>
        <v>2.0298827615311</v>
      </c>
      <c r="X89" s="4">
        <f t="shared" si="14"/>
        <v>1.76667331241799</v>
      </c>
      <c r="Y89" s="4">
        <f t="shared" si="14"/>
        <v>1.49289134691626</v>
      </c>
      <c r="Z89" s="4">
        <f t="shared" si="14"/>
        <v>1.45010994849819</v>
      </c>
      <c r="AA89" s="4">
        <f t="shared" si="14"/>
        <v>1.319206957303</v>
      </c>
      <c r="AB89" s="4">
        <f t="shared" si="14"/>
        <v>1.12806078283967</v>
      </c>
      <c r="AC89" s="4">
        <f t="shared" si="14"/>
        <v>0.971506167146162</v>
      </c>
      <c r="AD89" s="4">
        <f t="shared" si="14"/>
        <v>0.945613296552436</v>
      </c>
      <c r="AE89" s="4">
        <f t="shared" si="14"/>
        <v>0.840019103824399</v>
      </c>
      <c r="AF89" s="4">
        <f t="shared" si="14"/>
        <v>0.769804106227325</v>
      </c>
      <c r="AG89" s="4">
        <f t="shared" si="14"/>
        <v>0.717147886524267</v>
      </c>
      <c r="AH89" s="4">
        <f t="shared" si="17"/>
        <v>0.51983278095127</v>
      </c>
      <c r="AI89" s="4">
        <f t="shared" si="17"/>
        <v>0.408489092909442</v>
      </c>
      <c r="AJ89" s="4">
        <f t="shared" si="17"/>
        <v>0.355401965334779</v>
      </c>
    </row>
    <row r="90" spans="1:36">
      <c r="A90" t="str">
        <f>"post-semis_procurement_archetype_"&amp;TEXT(ROUND(Table2691617[[#This Row],[2016]],3),"0.0")</f>
        <v>post-semis_procurement_archetype_11.5</v>
      </c>
      <c r="B90" s="4">
        <f t="shared" si="13"/>
        <v>11.5</v>
      </c>
      <c r="C90" s="4">
        <f t="shared" si="15"/>
        <v>11.5</v>
      </c>
      <c r="D90" s="4">
        <f t="shared" si="15"/>
        <v>11.5</v>
      </c>
      <c r="E90" s="4">
        <f t="shared" si="15"/>
        <v>11.2011797552323</v>
      </c>
      <c r="F90" s="4">
        <f t="shared" si="15"/>
        <v>10.4787643859379</v>
      </c>
      <c r="G90" s="4">
        <f t="shared" si="15"/>
        <v>10.5797598203977</v>
      </c>
      <c r="H90" s="4">
        <f t="shared" si="15"/>
        <v>10.2661881660487</v>
      </c>
      <c r="I90" s="4">
        <f t="shared" si="15"/>
        <v>9.65960545978763</v>
      </c>
      <c r="J90" s="4">
        <f t="shared" si="15"/>
        <v>9.31885773634466</v>
      </c>
      <c r="K90" s="4">
        <f t="shared" si="15"/>
        <v>8.9690729944585</v>
      </c>
      <c r="L90" s="4">
        <f t="shared" si="15"/>
        <v>8.41654705797936</v>
      </c>
      <c r="M90" s="4">
        <f t="shared" si="15"/>
        <v>8.34948758516396</v>
      </c>
      <c r="N90" s="4">
        <f t="shared" si="15"/>
        <v>7.89676054009234</v>
      </c>
      <c r="O90" s="4">
        <f t="shared" si="15"/>
        <v>7.42732024107925</v>
      </c>
      <c r="P90" s="4">
        <f t="shared" si="15"/>
        <v>6.87234464920723</v>
      </c>
      <c r="Q90" s="4">
        <f t="shared" si="15"/>
        <v>5.97626116323206</v>
      </c>
      <c r="R90" s="4">
        <f t="shared" si="15"/>
        <v>4.76741608791387</v>
      </c>
      <c r="S90" s="4">
        <f t="shared" si="14"/>
        <v>4.38191301170607</v>
      </c>
      <c r="T90" s="4">
        <f t="shared" si="14"/>
        <v>3.54393784093827</v>
      </c>
      <c r="U90" s="4">
        <f t="shared" si="14"/>
        <v>2.69945252249633</v>
      </c>
      <c r="V90" s="4">
        <f t="shared" si="14"/>
        <v>2.52907552463227</v>
      </c>
      <c r="W90" s="4">
        <f t="shared" si="14"/>
        <v>2.01499133730203</v>
      </c>
      <c r="X90" s="4">
        <f t="shared" si="14"/>
        <v>1.754122651712</v>
      </c>
      <c r="Y90" s="4">
        <f t="shared" si="14"/>
        <v>1.48277547280431</v>
      </c>
      <c r="Z90" s="4">
        <f t="shared" si="14"/>
        <v>1.44037453617141</v>
      </c>
      <c r="AA90" s="4">
        <f t="shared" si="14"/>
        <v>1.3106356861113</v>
      </c>
      <c r="AB90" s="4">
        <f t="shared" si="14"/>
        <v>1.12118940500008</v>
      </c>
      <c r="AC90" s="4">
        <f t="shared" si="14"/>
        <v>0.966027054420994</v>
      </c>
      <c r="AD90" s="4">
        <f t="shared" si="14"/>
        <v>0.940364453246538</v>
      </c>
      <c r="AE90" s="4">
        <f t="shared" si="14"/>
        <v>0.835709326480686</v>
      </c>
      <c r="AF90" s="4">
        <f t="shared" si="14"/>
        <v>0.766118762032584</v>
      </c>
      <c r="AG90" s="4">
        <f t="shared" si="14"/>
        <v>0.71393082247205</v>
      </c>
      <c r="AH90" s="4">
        <f t="shared" si="17"/>
        <v>0.518370471537366</v>
      </c>
      <c r="AI90" s="4">
        <f t="shared" si="17"/>
        <v>0.408016980634632</v>
      </c>
      <c r="AJ90" s="4">
        <f t="shared" si="17"/>
        <v>0.355401965334779</v>
      </c>
    </row>
    <row r="91" spans="1:36">
      <c r="A91" t="str">
        <f>"post-semis_procurement_archetype_"&amp;TEXT(ROUND(Table2691617[[#This Row],[2016]],3),"0.0")</f>
        <v>post-semis_procurement_archetype_11.4</v>
      </c>
      <c r="B91" s="4">
        <f t="shared" si="13"/>
        <v>11.4</v>
      </c>
      <c r="C91" s="4">
        <f t="shared" si="15"/>
        <v>11.4</v>
      </c>
      <c r="D91" s="4">
        <f t="shared" si="15"/>
        <v>11.4</v>
      </c>
      <c r="E91" s="4">
        <f t="shared" si="15"/>
        <v>11.1038610564676</v>
      </c>
      <c r="F91" s="4">
        <f t="shared" si="15"/>
        <v>10.3879278892862</v>
      </c>
      <c r="G91" s="4">
        <f t="shared" si="15"/>
        <v>10.4880170960459</v>
      </c>
      <c r="H91" s="4">
        <f t="shared" si="15"/>
        <v>10.1772591066974</v>
      </c>
      <c r="I91" s="4">
        <f t="shared" si="15"/>
        <v>9.57611924103382</v>
      </c>
      <c r="J91" s="4">
        <f t="shared" si="15"/>
        <v>9.23842903229334</v>
      </c>
      <c r="K91" s="4">
        <f t="shared" si="15"/>
        <v>8.89178289388843</v>
      </c>
      <c r="L91" s="4">
        <f t="shared" si="15"/>
        <v>8.34421474893089</v>
      </c>
      <c r="M91" s="4">
        <f t="shared" si="15"/>
        <v>8.27775699788783</v>
      </c>
      <c r="N91" s="4">
        <f t="shared" si="15"/>
        <v>7.82909225316714</v>
      </c>
      <c r="O91" s="4">
        <f t="shared" si="15"/>
        <v>7.3638642218155</v>
      </c>
      <c r="P91" s="4">
        <f t="shared" si="15"/>
        <v>6.81386840211781</v>
      </c>
      <c r="Q91" s="4">
        <f t="shared" si="15"/>
        <v>5.92582543481536</v>
      </c>
      <c r="R91" s="4">
        <f t="shared" si="15"/>
        <v>4.72782727449184</v>
      </c>
      <c r="S91" s="4">
        <f t="shared" si="14"/>
        <v>4.34578330084663</v>
      </c>
      <c r="T91" s="4">
        <f t="shared" si="14"/>
        <v>3.51532724533235</v>
      </c>
      <c r="U91" s="4">
        <f t="shared" si="14"/>
        <v>2.67841945741969</v>
      </c>
      <c r="V91" s="4">
        <f t="shared" si="14"/>
        <v>2.50957124504734</v>
      </c>
      <c r="W91" s="4">
        <f t="shared" si="14"/>
        <v>2.00009991307295</v>
      </c>
      <c r="X91" s="4">
        <f t="shared" si="14"/>
        <v>1.74157199100601</v>
      </c>
      <c r="Y91" s="4">
        <f t="shared" si="14"/>
        <v>1.47265959869236</v>
      </c>
      <c r="Z91" s="4">
        <f t="shared" si="14"/>
        <v>1.43063912384464</v>
      </c>
      <c r="AA91" s="4">
        <f t="shared" si="14"/>
        <v>1.30206441491959</v>
      </c>
      <c r="AB91" s="4">
        <f t="shared" si="14"/>
        <v>1.11431802716049</v>
      </c>
      <c r="AC91" s="4">
        <f t="shared" si="14"/>
        <v>0.960547941695826</v>
      </c>
      <c r="AD91" s="4">
        <f t="shared" si="14"/>
        <v>0.93511560994064</v>
      </c>
      <c r="AE91" s="4">
        <f t="shared" si="14"/>
        <v>0.831399549136973</v>
      </c>
      <c r="AF91" s="4">
        <f t="shared" si="14"/>
        <v>0.762433417837842</v>
      </c>
      <c r="AG91" s="4">
        <f t="shared" si="14"/>
        <v>0.710713758419833</v>
      </c>
      <c r="AH91" s="4">
        <f t="shared" si="17"/>
        <v>0.516908162123463</v>
      </c>
      <c r="AI91" s="4">
        <f t="shared" si="17"/>
        <v>0.407544868359823</v>
      </c>
      <c r="AJ91" s="4">
        <f t="shared" si="17"/>
        <v>0.355401965334779</v>
      </c>
    </row>
    <row r="92" spans="1:36">
      <c r="A92" t="str">
        <f>"post-semis_procurement_archetype_"&amp;TEXT(ROUND(Table2691617[[#This Row],[2016]],3),"0.0")</f>
        <v>post-semis_procurement_archetype_11.3</v>
      </c>
      <c r="B92" s="4">
        <f t="shared" si="13"/>
        <v>11.3</v>
      </c>
      <c r="C92" s="4">
        <f t="shared" si="15"/>
        <v>11.3</v>
      </c>
      <c r="D92" s="4">
        <f t="shared" si="15"/>
        <v>11.3</v>
      </c>
      <c r="E92" s="4">
        <f t="shared" si="15"/>
        <v>11.0065423577028</v>
      </c>
      <c r="F92" s="4">
        <f t="shared" si="15"/>
        <v>10.2970913926345</v>
      </c>
      <c r="G92" s="4">
        <f t="shared" si="15"/>
        <v>10.396274371694</v>
      </c>
      <c r="H92" s="4">
        <f t="shared" si="15"/>
        <v>10.0883300473461</v>
      </c>
      <c r="I92" s="4">
        <f t="shared" si="15"/>
        <v>9.49263302228002</v>
      </c>
      <c r="J92" s="4">
        <f t="shared" si="15"/>
        <v>9.15800032824202</v>
      </c>
      <c r="K92" s="4">
        <f t="shared" si="15"/>
        <v>8.81449279331835</v>
      </c>
      <c r="L92" s="4">
        <f t="shared" si="15"/>
        <v>8.27188243988241</v>
      </c>
      <c r="M92" s="4">
        <f t="shared" si="15"/>
        <v>8.2060264106117</v>
      </c>
      <c r="N92" s="4">
        <f t="shared" si="15"/>
        <v>7.76142396624194</v>
      </c>
      <c r="O92" s="4">
        <f t="shared" si="15"/>
        <v>7.30040820255175</v>
      </c>
      <c r="P92" s="4">
        <f t="shared" si="15"/>
        <v>6.7553921550284</v>
      </c>
      <c r="Q92" s="4">
        <f t="shared" si="15"/>
        <v>5.87538970639865</v>
      </c>
      <c r="R92" s="4">
        <f t="shared" ref="R92:AG107" si="18">(($B92-$AJ$2)*((R$2-$AJ$2)/($B$2-$AJ$2)))+$AJ$2</f>
        <v>4.68823846106981</v>
      </c>
      <c r="S92" s="4">
        <f t="shared" si="18"/>
        <v>4.30965358998719</v>
      </c>
      <c r="T92" s="4">
        <f t="shared" si="18"/>
        <v>3.48671664972643</v>
      </c>
      <c r="U92" s="4">
        <f t="shared" si="18"/>
        <v>2.65738639234304</v>
      </c>
      <c r="V92" s="4">
        <f t="shared" si="18"/>
        <v>2.49006696546241</v>
      </c>
      <c r="W92" s="4">
        <f t="shared" si="18"/>
        <v>1.98520848884388</v>
      </c>
      <c r="X92" s="4">
        <f t="shared" si="18"/>
        <v>1.72902133030002</v>
      </c>
      <c r="Y92" s="4">
        <f t="shared" si="18"/>
        <v>1.46254372458041</v>
      </c>
      <c r="Z92" s="4">
        <f t="shared" si="18"/>
        <v>1.42090371151786</v>
      </c>
      <c r="AA92" s="4">
        <f t="shared" si="18"/>
        <v>1.29349314372789</v>
      </c>
      <c r="AB92" s="4">
        <f t="shared" si="18"/>
        <v>1.1074466493209</v>
      </c>
      <c r="AC92" s="4">
        <f t="shared" si="18"/>
        <v>0.955068828970657</v>
      </c>
      <c r="AD92" s="4">
        <f t="shared" si="18"/>
        <v>0.929866766634742</v>
      </c>
      <c r="AE92" s="4">
        <f t="shared" si="18"/>
        <v>0.82708977179326</v>
      </c>
      <c r="AF92" s="4">
        <f t="shared" si="18"/>
        <v>0.758748073643101</v>
      </c>
      <c r="AG92" s="4">
        <f t="shared" si="18"/>
        <v>0.707496694367617</v>
      </c>
      <c r="AH92" s="4">
        <f t="shared" si="17"/>
        <v>0.51544585270956</v>
      </c>
      <c r="AI92" s="4">
        <f t="shared" si="17"/>
        <v>0.407072756085013</v>
      </c>
      <c r="AJ92" s="4">
        <f t="shared" si="17"/>
        <v>0.355401965334779</v>
      </c>
    </row>
    <row r="93" spans="1:36">
      <c r="A93" t="str">
        <f>"post-semis_procurement_archetype_"&amp;TEXT(ROUND(Table2691617[[#This Row],[2016]],3),"0.0")</f>
        <v>post-semis_procurement_archetype_11.2</v>
      </c>
      <c r="B93" s="4">
        <f t="shared" si="13"/>
        <v>11.2</v>
      </c>
      <c r="C93" s="4">
        <f t="shared" ref="C93:R108" si="19">(($B93-$AJ$2)*((C$2-$AJ$2)/($B$2-$AJ$2)))+$AJ$2</f>
        <v>11.2</v>
      </c>
      <c r="D93" s="4">
        <f t="shared" si="19"/>
        <v>11.2</v>
      </c>
      <c r="E93" s="4">
        <f t="shared" si="19"/>
        <v>10.9092236589381</v>
      </c>
      <c r="F93" s="4">
        <f t="shared" si="19"/>
        <v>10.2062548959828</v>
      </c>
      <c r="G93" s="4">
        <f t="shared" si="19"/>
        <v>10.3045316473422</v>
      </c>
      <c r="H93" s="4">
        <f t="shared" si="19"/>
        <v>9.99940098799475</v>
      </c>
      <c r="I93" s="4">
        <f t="shared" si="19"/>
        <v>9.40914680352621</v>
      </c>
      <c r="J93" s="4">
        <f t="shared" si="19"/>
        <v>9.07757162419071</v>
      </c>
      <c r="K93" s="4">
        <f t="shared" si="19"/>
        <v>8.73720269274827</v>
      </c>
      <c r="L93" s="4">
        <f t="shared" si="19"/>
        <v>8.19955013083393</v>
      </c>
      <c r="M93" s="4">
        <f t="shared" si="19"/>
        <v>8.13429582333558</v>
      </c>
      <c r="N93" s="4">
        <f t="shared" si="19"/>
        <v>7.69375567931674</v>
      </c>
      <c r="O93" s="4">
        <f t="shared" si="19"/>
        <v>7.236952183288</v>
      </c>
      <c r="P93" s="4">
        <f t="shared" si="19"/>
        <v>6.69691590793899</v>
      </c>
      <c r="Q93" s="4">
        <f t="shared" si="19"/>
        <v>5.82495397798195</v>
      </c>
      <c r="R93" s="4">
        <f t="shared" si="19"/>
        <v>4.64864964764778</v>
      </c>
      <c r="S93" s="4">
        <f t="shared" si="18"/>
        <v>4.27352387912775</v>
      </c>
      <c r="T93" s="4">
        <f t="shared" si="18"/>
        <v>3.45810605412051</v>
      </c>
      <c r="U93" s="4">
        <f t="shared" si="18"/>
        <v>2.6363533272664</v>
      </c>
      <c r="V93" s="4">
        <f t="shared" si="18"/>
        <v>2.47056268587748</v>
      </c>
      <c r="W93" s="4">
        <f t="shared" si="18"/>
        <v>1.9703170646148</v>
      </c>
      <c r="X93" s="4">
        <f t="shared" si="18"/>
        <v>1.71647066959403</v>
      </c>
      <c r="Y93" s="4">
        <f t="shared" si="18"/>
        <v>1.45242785046846</v>
      </c>
      <c r="Z93" s="4">
        <f t="shared" si="18"/>
        <v>1.41116829919108</v>
      </c>
      <c r="AA93" s="4">
        <f t="shared" si="18"/>
        <v>1.28492187253618</v>
      </c>
      <c r="AB93" s="4">
        <f t="shared" si="18"/>
        <v>1.10057527148131</v>
      </c>
      <c r="AC93" s="4">
        <f t="shared" si="18"/>
        <v>0.949589716245489</v>
      </c>
      <c r="AD93" s="4">
        <f t="shared" si="18"/>
        <v>0.924617923328845</v>
      </c>
      <c r="AE93" s="4">
        <f t="shared" si="18"/>
        <v>0.822779994449546</v>
      </c>
      <c r="AF93" s="4">
        <f t="shared" si="18"/>
        <v>0.755062729448359</v>
      </c>
      <c r="AG93" s="4">
        <f t="shared" si="18"/>
        <v>0.7042796303154</v>
      </c>
      <c r="AH93" s="4">
        <f t="shared" si="17"/>
        <v>0.513983543295656</v>
      </c>
      <c r="AI93" s="4">
        <f t="shared" si="17"/>
        <v>0.406600643810203</v>
      </c>
      <c r="AJ93" s="4">
        <f t="shared" si="17"/>
        <v>0.355401965334779</v>
      </c>
    </row>
    <row r="94" spans="1:36">
      <c r="A94" t="str">
        <f>"post-semis_procurement_archetype_"&amp;TEXT(ROUND(Table2691617[[#This Row],[2016]],3),"0.0")</f>
        <v>post-semis_procurement_archetype_11.1</v>
      </c>
      <c r="B94" s="4">
        <f t="shared" si="13"/>
        <v>11.1</v>
      </c>
      <c r="C94" s="4">
        <f t="shared" si="19"/>
        <v>11.1</v>
      </c>
      <c r="D94" s="4">
        <f t="shared" si="19"/>
        <v>11.1</v>
      </c>
      <c r="E94" s="4">
        <f t="shared" si="19"/>
        <v>10.8119049601733</v>
      </c>
      <c r="F94" s="4">
        <f t="shared" si="19"/>
        <v>10.1154183993311</v>
      </c>
      <c r="G94" s="4">
        <f t="shared" si="19"/>
        <v>10.2127889229904</v>
      </c>
      <c r="H94" s="4">
        <f t="shared" si="19"/>
        <v>9.91047192864342</v>
      </c>
      <c r="I94" s="4">
        <f t="shared" si="19"/>
        <v>9.32566058477241</v>
      </c>
      <c r="J94" s="4">
        <f t="shared" si="19"/>
        <v>8.99714292013939</v>
      </c>
      <c r="K94" s="4">
        <f t="shared" si="19"/>
        <v>8.65991259217819</v>
      </c>
      <c r="L94" s="4">
        <f t="shared" si="19"/>
        <v>8.12721782178546</v>
      </c>
      <c r="M94" s="4">
        <f t="shared" si="19"/>
        <v>8.06256523605945</v>
      </c>
      <c r="N94" s="4">
        <f t="shared" si="19"/>
        <v>7.62608739239154</v>
      </c>
      <c r="O94" s="4">
        <f t="shared" si="19"/>
        <v>7.17349616402425</v>
      </c>
      <c r="P94" s="4">
        <f t="shared" si="19"/>
        <v>6.63843966084958</v>
      </c>
      <c r="Q94" s="4">
        <f t="shared" si="19"/>
        <v>5.77451824956524</v>
      </c>
      <c r="R94" s="4">
        <f t="shared" si="19"/>
        <v>4.60906083422575</v>
      </c>
      <c r="S94" s="4">
        <f t="shared" si="18"/>
        <v>4.23739416826831</v>
      </c>
      <c r="T94" s="4">
        <f t="shared" si="18"/>
        <v>3.42949545851458</v>
      </c>
      <c r="U94" s="4">
        <f t="shared" si="18"/>
        <v>2.61532026218976</v>
      </c>
      <c r="V94" s="4">
        <f t="shared" si="18"/>
        <v>2.45105840629255</v>
      </c>
      <c r="W94" s="4">
        <f t="shared" si="18"/>
        <v>1.95542564038573</v>
      </c>
      <c r="X94" s="4">
        <f t="shared" si="18"/>
        <v>1.70392000888804</v>
      </c>
      <c r="Y94" s="4">
        <f t="shared" si="18"/>
        <v>1.44231197635652</v>
      </c>
      <c r="Z94" s="4">
        <f t="shared" si="18"/>
        <v>1.4014328868643</v>
      </c>
      <c r="AA94" s="4">
        <f t="shared" si="18"/>
        <v>1.27635060134448</v>
      </c>
      <c r="AB94" s="4">
        <f t="shared" si="18"/>
        <v>1.09370389364172</v>
      </c>
      <c r="AC94" s="4">
        <f t="shared" si="18"/>
        <v>0.94411060352032</v>
      </c>
      <c r="AD94" s="4">
        <f t="shared" si="18"/>
        <v>0.919369080022947</v>
      </c>
      <c r="AE94" s="4">
        <f t="shared" si="18"/>
        <v>0.818470217105833</v>
      </c>
      <c r="AF94" s="4">
        <f t="shared" si="18"/>
        <v>0.751377385253618</v>
      </c>
      <c r="AG94" s="4">
        <f t="shared" si="18"/>
        <v>0.701062566263183</v>
      </c>
      <c r="AH94" s="4">
        <f t="shared" si="17"/>
        <v>0.512521233881753</v>
      </c>
      <c r="AI94" s="4">
        <f t="shared" si="17"/>
        <v>0.406128531535394</v>
      </c>
      <c r="AJ94" s="4">
        <f t="shared" si="17"/>
        <v>0.355401965334779</v>
      </c>
    </row>
    <row r="95" spans="1:36">
      <c r="A95" t="str">
        <f>"post-semis_procurement_archetype_"&amp;TEXT(ROUND(Table2691617[[#This Row],[2016]],3),"0.0")</f>
        <v>post-semis_procurement_archetype_11.0</v>
      </c>
      <c r="B95" s="4">
        <f t="shared" si="13"/>
        <v>11</v>
      </c>
      <c r="C95" s="4">
        <f t="shared" si="19"/>
        <v>11</v>
      </c>
      <c r="D95" s="4">
        <f t="shared" si="19"/>
        <v>11</v>
      </c>
      <c r="E95" s="4">
        <f t="shared" si="19"/>
        <v>10.7145862614086</v>
      </c>
      <c r="F95" s="4">
        <f t="shared" si="19"/>
        <v>10.0245819026794</v>
      </c>
      <c r="G95" s="4">
        <f t="shared" si="19"/>
        <v>10.1210461986385</v>
      </c>
      <c r="H95" s="4">
        <f t="shared" si="19"/>
        <v>9.8215428692921</v>
      </c>
      <c r="I95" s="4">
        <f t="shared" si="19"/>
        <v>9.2421743660186</v>
      </c>
      <c r="J95" s="4">
        <f t="shared" si="19"/>
        <v>8.91671421608807</v>
      </c>
      <c r="K95" s="4">
        <f t="shared" si="19"/>
        <v>8.58262249160811</v>
      </c>
      <c r="L95" s="4">
        <f t="shared" si="19"/>
        <v>8.05488551273698</v>
      </c>
      <c r="M95" s="4">
        <f t="shared" si="19"/>
        <v>7.99083464878332</v>
      </c>
      <c r="N95" s="4">
        <f t="shared" si="19"/>
        <v>7.55841910546633</v>
      </c>
      <c r="O95" s="4">
        <f t="shared" si="19"/>
        <v>7.11004014476051</v>
      </c>
      <c r="P95" s="4">
        <f t="shared" si="19"/>
        <v>6.57996341376017</v>
      </c>
      <c r="Q95" s="4">
        <f t="shared" si="19"/>
        <v>5.72408252114853</v>
      </c>
      <c r="R95" s="4">
        <f t="shared" si="19"/>
        <v>4.56947202080371</v>
      </c>
      <c r="S95" s="4">
        <f t="shared" si="18"/>
        <v>4.20126445740887</v>
      </c>
      <c r="T95" s="4">
        <f t="shared" si="18"/>
        <v>3.40088486290866</v>
      </c>
      <c r="U95" s="4">
        <f t="shared" si="18"/>
        <v>2.59428719711311</v>
      </c>
      <c r="V95" s="4">
        <f t="shared" si="18"/>
        <v>2.43155412670763</v>
      </c>
      <c r="W95" s="4">
        <f t="shared" si="18"/>
        <v>1.94053421615665</v>
      </c>
      <c r="X95" s="4">
        <f t="shared" si="18"/>
        <v>1.69136934818205</v>
      </c>
      <c r="Y95" s="4">
        <f t="shared" si="18"/>
        <v>1.43219610224457</v>
      </c>
      <c r="Z95" s="4">
        <f t="shared" si="18"/>
        <v>1.39169747453753</v>
      </c>
      <c r="AA95" s="4">
        <f t="shared" si="18"/>
        <v>1.26777933015278</v>
      </c>
      <c r="AB95" s="4">
        <f t="shared" si="18"/>
        <v>1.08683251580213</v>
      </c>
      <c r="AC95" s="4">
        <f t="shared" si="18"/>
        <v>0.938631490795152</v>
      </c>
      <c r="AD95" s="4">
        <f t="shared" si="18"/>
        <v>0.914120236717049</v>
      </c>
      <c r="AE95" s="4">
        <f t="shared" si="18"/>
        <v>0.81416043976212</v>
      </c>
      <c r="AF95" s="4">
        <f t="shared" si="18"/>
        <v>0.747692041058876</v>
      </c>
      <c r="AG95" s="4">
        <f t="shared" si="18"/>
        <v>0.697845502210966</v>
      </c>
      <c r="AH95" s="4">
        <f t="shared" si="17"/>
        <v>0.51105892446785</v>
      </c>
      <c r="AI95" s="4">
        <f t="shared" si="17"/>
        <v>0.405656419260584</v>
      </c>
      <c r="AJ95" s="4">
        <f t="shared" si="17"/>
        <v>0.355401965334779</v>
      </c>
    </row>
    <row r="96" spans="1:36">
      <c r="A96" t="str">
        <f>"post-semis_procurement_archetype_"&amp;TEXT(ROUND(Table2691617[[#This Row],[2016]],3),"0.0")</f>
        <v>post-semis_procurement_archetype_10.9</v>
      </c>
      <c r="B96" s="4">
        <f t="shared" si="13"/>
        <v>10.9</v>
      </c>
      <c r="C96" s="4">
        <f t="shared" si="19"/>
        <v>10.9</v>
      </c>
      <c r="D96" s="4">
        <f t="shared" si="19"/>
        <v>10.9</v>
      </c>
      <c r="E96" s="4">
        <f t="shared" si="19"/>
        <v>10.6172675626438</v>
      </c>
      <c r="F96" s="4">
        <f t="shared" si="19"/>
        <v>9.93374540602774</v>
      </c>
      <c r="G96" s="4">
        <f t="shared" si="19"/>
        <v>10.0293034742867</v>
      </c>
      <c r="H96" s="4">
        <f t="shared" si="19"/>
        <v>9.73261380994077</v>
      </c>
      <c r="I96" s="4">
        <f t="shared" si="19"/>
        <v>9.1586881472648</v>
      </c>
      <c r="J96" s="4">
        <f t="shared" si="19"/>
        <v>8.83628551203675</v>
      </c>
      <c r="K96" s="4">
        <f t="shared" si="19"/>
        <v>8.50533239103803</v>
      </c>
      <c r="L96" s="4">
        <f t="shared" si="19"/>
        <v>7.9825532036885</v>
      </c>
      <c r="M96" s="4">
        <f t="shared" si="19"/>
        <v>7.91910406150719</v>
      </c>
      <c r="N96" s="4">
        <f t="shared" si="19"/>
        <v>7.49075081854113</v>
      </c>
      <c r="O96" s="4">
        <f t="shared" si="19"/>
        <v>7.04658412549676</v>
      </c>
      <c r="P96" s="4">
        <f t="shared" si="19"/>
        <v>6.52148716667076</v>
      </c>
      <c r="Q96" s="4">
        <f t="shared" si="19"/>
        <v>5.67364679273183</v>
      </c>
      <c r="R96" s="4">
        <f t="shared" si="19"/>
        <v>4.52988320738168</v>
      </c>
      <c r="S96" s="4">
        <f t="shared" si="18"/>
        <v>4.16513474654944</v>
      </c>
      <c r="T96" s="4">
        <f t="shared" si="18"/>
        <v>3.37227426730274</v>
      </c>
      <c r="U96" s="4">
        <f t="shared" si="18"/>
        <v>2.57325413203647</v>
      </c>
      <c r="V96" s="4">
        <f t="shared" si="18"/>
        <v>2.4120498471227</v>
      </c>
      <c r="W96" s="4">
        <f t="shared" si="18"/>
        <v>1.92564279192757</v>
      </c>
      <c r="X96" s="4">
        <f t="shared" si="18"/>
        <v>1.67881868747606</v>
      </c>
      <c r="Y96" s="4">
        <f t="shared" si="18"/>
        <v>1.42208022813262</v>
      </c>
      <c r="Z96" s="4">
        <f t="shared" si="18"/>
        <v>1.38196206221075</v>
      </c>
      <c r="AA96" s="4">
        <f t="shared" si="18"/>
        <v>1.25920805896107</v>
      </c>
      <c r="AB96" s="4">
        <f t="shared" si="18"/>
        <v>1.07996113796255</v>
      </c>
      <c r="AC96" s="4">
        <f t="shared" si="18"/>
        <v>0.933152378069983</v>
      </c>
      <c r="AD96" s="4">
        <f t="shared" si="18"/>
        <v>0.908871393411151</v>
      </c>
      <c r="AE96" s="4">
        <f t="shared" si="18"/>
        <v>0.809850662418407</v>
      </c>
      <c r="AF96" s="4">
        <f t="shared" si="18"/>
        <v>0.744006696864135</v>
      </c>
      <c r="AG96" s="4">
        <f t="shared" si="18"/>
        <v>0.69462843815875</v>
      </c>
      <c r="AH96" s="4">
        <f t="shared" si="17"/>
        <v>0.509596615053947</v>
      </c>
      <c r="AI96" s="4">
        <f t="shared" si="17"/>
        <v>0.405184306985774</v>
      </c>
      <c r="AJ96" s="4">
        <f t="shared" si="17"/>
        <v>0.355401965334779</v>
      </c>
    </row>
    <row r="97" spans="1:36">
      <c r="A97" t="str">
        <f>"post-semis_procurement_archetype_"&amp;TEXT(ROUND(Table2691617[[#This Row],[2016]],3),"0.0")</f>
        <v>post-semis_procurement_archetype_10.8</v>
      </c>
      <c r="B97" s="4">
        <f t="shared" si="13"/>
        <v>10.8</v>
      </c>
      <c r="C97" s="4">
        <f t="shared" si="19"/>
        <v>10.8</v>
      </c>
      <c r="D97" s="4">
        <f t="shared" si="19"/>
        <v>10.8</v>
      </c>
      <c r="E97" s="4">
        <f t="shared" si="19"/>
        <v>10.5199488638791</v>
      </c>
      <c r="F97" s="4">
        <f t="shared" si="19"/>
        <v>9.84290890937605</v>
      </c>
      <c r="G97" s="4">
        <f t="shared" si="19"/>
        <v>9.93756074993487</v>
      </c>
      <c r="H97" s="4">
        <f t="shared" si="19"/>
        <v>9.64368475058945</v>
      </c>
      <c r="I97" s="4">
        <f t="shared" si="19"/>
        <v>9.07520192851099</v>
      </c>
      <c r="J97" s="4">
        <f t="shared" si="19"/>
        <v>8.75585680798543</v>
      </c>
      <c r="K97" s="4">
        <f t="shared" si="19"/>
        <v>8.42804229046796</v>
      </c>
      <c r="L97" s="4">
        <f t="shared" si="19"/>
        <v>7.91022089464002</v>
      </c>
      <c r="M97" s="4">
        <f t="shared" si="19"/>
        <v>7.84737347423107</v>
      </c>
      <c r="N97" s="4">
        <f t="shared" si="19"/>
        <v>7.42308253161593</v>
      </c>
      <c r="O97" s="4">
        <f t="shared" si="19"/>
        <v>6.98312810623301</v>
      </c>
      <c r="P97" s="4">
        <f t="shared" si="19"/>
        <v>6.46301091958135</v>
      </c>
      <c r="Q97" s="4">
        <f t="shared" si="19"/>
        <v>5.62321106431512</v>
      </c>
      <c r="R97" s="4">
        <f t="shared" si="19"/>
        <v>4.49029439395965</v>
      </c>
      <c r="S97" s="4">
        <f t="shared" si="18"/>
        <v>4.12900503569</v>
      </c>
      <c r="T97" s="4">
        <f t="shared" si="18"/>
        <v>3.34366367169682</v>
      </c>
      <c r="U97" s="4">
        <f t="shared" si="18"/>
        <v>2.55222106695982</v>
      </c>
      <c r="V97" s="4">
        <f t="shared" si="18"/>
        <v>2.39254556753777</v>
      </c>
      <c r="W97" s="4">
        <f t="shared" si="18"/>
        <v>1.9107513676985</v>
      </c>
      <c r="X97" s="4">
        <f t="shared" si="18"/>
        <v>1.66626802677007</v>
      </c>
      <c r="Y97" s="4">
        <f t="shared" si="18"/>
        <v>1.41196435402067</v>
      </c>
      <c r="Z97" s="4">
        <f t="shared" si="18"/>
        <v>1.37222664988397</v>
      </c>
      <c r="AA97" s="4">
        <f t="shared" si="18"/>
        <v>1.25063678776937</v>
      </c>
      <c r="AB97" s="4">
        <f t="shared" si="18"/>
        <v>1.07308976012296</v>
      </c>
      <c r="AC97" s="4">
        <f t="shared" si="18"/>
        <v>0.927673265344815</v>
      </c>
      <c r="AD97" s="4">
        <f t="shared" si="18"/>
        <v>0.903622550105253</v>
      </c>
      <c r="AE97" s="4">
        <f t="shared" si="18"/>
        <v>0.805540885074694</v>
      </c>
      <c r="AF97" s="4">
        <f t="shared" si="18"/>
        <v>0.740321352669393</v>
      </c>
      <c r="AG97" s="4">
        <f t="shared" si="18"/>
        <v>0.691411374106533</v>
      </c>
      <c r="AH97" s="4">
        <f t="shared" si="17"/>
        <v>0.508134305640043</v>
      </c>
      <c r="AI97" s="4">
        <f t="shared" si="17"/>
        <v>0.404712194710965</v>
      </c>
      <c r="AJ97" s="4">
        <f t="shared" si="17"/>
        <v>0.355401965334779</v>
      </c>
    </row>
    <row r="98" spans="1:36">
      <c r="A98" t="str">
        <f>"post-semis_procurement_archetype_"&amp;TEXT(ROUND(Table2691617[[#This Row],[2016]],3),"0.0")</f>
        <v>post-semis_procurement_archetype_10.7</v>
      </c>
      <c r="B98" s="4">
        <f t="shared" si="13"/>
        <v>10.7</v>
      </c>
      <c r="C98" s="4">
        <f t="shared" si="19"/>
        <v>10.7</v>
      </c>
      <c r="D98" s="4">
        <f t="shared" si="19"/>
        <v>10.7</v>
      </c>
      <c r="E98" s="4">
        <f t="shared" si="19"/>
        <v>10.4226301651144</v>
      </c>
      <c r="F98" s="4">
        <f t="shared" si="19"/>
        <v>9.75207241272436</v>
      </c>
      <c r="G98" s="4">
        <f t="shared" si="19"/>
        <v>9.84581802558303</v>
      </c>
      <c r="H98" s="4">
        <f t="shared" si="19"/>
        <v>9.55475569123813</v>
      </c>
      <c r="I98" s="4">
        <f t="shared" si="19"/>
        <v>8.99171570975719</v>
      </c>
      <c r="J98" s="4">
        <f t="shared" si="19"/>
        <v>8.67542810393412</v>
      </c>
      <c r="K98" s="4">
        <f t="shared" si="19"/>
        <v>8.35075218989788</v>
      </c>
      <c r="L98" s="4">
        <f t="shared" si="19"/>
        <v>7.83788858559155</v>
      </c>
      <c r="M98" s="4">
        <f t="shared" si="19"/>
        <v>7.77564288695494</v>
      </c>
      <c r="N98" s="4">
        <f t="shared" si="19"/>
        <v>7.35541424469073</v>
      </c>
      <c r="O98" s="4">
        <f t="shared" si="19"/>
        <v>6.91967208696926</v>
      </c>
      <c r="P98" s="4">
        <f t="shared" si="19"/>
        <v>6.40453467249194</v>
      </c>
      <c r="Q98" s="4">
        <f t="shared" si="19"/>
        <v>5.57277533589842</v>
      </c>
      <c r="R98" s="4">
        <f t="shared" si="19"/>
        <v>4.45070558053762</v>
      </c>
      <c r="S98" s="4">
        <f t="shared" si="18"/>
        <v>4.09287532483056</v>
      </c>
      <c r="T98" s="4">
        <f t="shared" si="18"/>
        <v>3.3150530760909</v>
      </c>
      <c r="U98" s="4">
        <f t="shared" si="18"/>
        <v>2.53118800188318</v>
      </c>
      <c r="V98" s="4">
        <f t="shared" si="18"/>
        <v>2.37304128795284</v>
      </c>
      <c r="W98" s="4">
        <f t="shared" si="18"/>
        <v>1.89585994346942</v>
      </c>
      <c r="X98" s="4">
        <f t="shared" si="18"/>
        <v>1.65371736606408</v>
      </c>
      <c r="Y98" s="4">
        <f t="shared" si="18"/>
        <v>1.40184847990872</v>
      </c>
      <c r="Z98" s="4">
        <f t="shared" si="18"/>
        <v>1.36249123755719</v>
      </c>
      <c r="AA98" s="4">
        <f t="shared" si="18"/>
        <v>1.24206551657766</v>
      </c>
      <c r="AB98" s="4">
        <f t="shared" si="18"/>
        <v>1.06621838228337</v>
      </c>
      <c r="AC98" s="4">
        <f t="shared" si="18"/>
        <v>0.922194152619646</v>
      </c>
      <c r="AD98" s="4">
        <f t="shared" si="18"/>
        <v>0.898373706799355</v>
      </c>
      <c r="AE98" s="4">
        <f t="shared" si="18"/>
        <v>0.80123110773098</v>
      </c>
      <c r="AF98" s="4">
        <f t="shared" si="18"/>
        <v>0.736636008474652</v>
      </c>
      <c r="AG98" s="4">
        <f t="shared" si="18"/>
        <v>0.688194310054316</v>
      </c>
      <c r="AH98" s="4">
        <f t="shared" si="17"/>
        <v>0.50667199622614</v>
      </c>
      <c r="AI98" s="4">
        <f t="shared" si="17"/>
        <v>0.404240082436155</v>
      </c>
      <c r="AJ98" s="4">
        <f t="shared" si="17"/>
        <v>0.355401965334779</v>
      </c>
    </row>
    <row r="99" spans="1:36">
      <c r="A99" t="str">
        <f>"post-semis_procurement_archetype_"&amp;TEXT(ROUND(Table2691617[[#This Row],[2016]],3),"0.0")</f>
        <v>post-semis_procurement_archetype_10.6</v>
      </c>
      <c r="B99" s="4">
        <f t="shared" si="13"/>
        <v>10.6</v>
      </c>
      <c r="C99" s="4">
        <f t="shared" si="19"/>
        <v>10.6</v>
      </c>
      <c r="D99" s="4">
        <f t="shared" si="19"/>
        <v>10.6</v>
      </c>
      <c r="E99" s="4">
        <f t="shared" si="19"/>
        <v>10.3253114663496</v>
      </c>
      <c r="F99" s="4">
        <f t="shared" si="19"/>
        <v>9.66123591607267</v>
      </c>
      <c r="G99" s="4">
        <f t="shared" si="19"/>
        <v>9.7540753012312</v>
      </c>
      <c r="H99" s="4">
        <f t="shared" si="19"/>
        <v>9.4658266318868</v>
      </c>
      <c r="I99" s="4">
        <f t="shared" si="19"/>
        <v>8.90822949100338</v>
      </c>
      <c r="J99" s="4">
        <f t="shared" si="19"/>
        <v>8.5949993998828</v>
      </c>
      <c r="K99" s="4">
        <f t="shared" si="19"/>
        <v>8.2734620893278</v>
      </c>
      <c r="L99" s="4">
        <f t="shared" si="19"/>
        <v>7.76555627654307</v>
      </c>
      <c r="M99" s="4">
        <f t="shared" si="19"/>
        <v>7.70391229967881</v>
      </c>
      <c r="N99" s="4">
        <f t="shared" si="19"/>
        <v>7.28774595776553</v>
      </c>
      <c r="O99" s="4">
        <f t="shared" si="19"/>
        <v>6.85621606770551</v>
      </c>
      <c r="P99" s="4">
        <f t="shared" si="19"/>
        <v>6.34605842540253</v>
      </c>
      <c r="Q99" s="4">
        <f t="shared" si="19"/>
        <v>5.52233960748171</v>
      </c>
      <c r="R99" s="4">
        <f t="shared" si="19"/>
        <v>4.41111676711558</v>
      </c>
      <c r="S99" s="4">
        <f t="shared" si="18"/>
        <v>4.05674561397112</v>
      </c>
      <c r="T99" s="4">
        <f t="shared" si="18"/>
        <v>3.28644248048498</v>
      </c>
      <c r="U99" s="4">
        <f t="shared" si="18"/>
        <v>2.51015493680653</v>
      </c>
      <c r="V99" s="4">
        <f t="shared" si="18"/>
        <v>2.35353700836792</v>
      </c>
      <c r="W99" s="4">
        <f t="shared" si="18"/>
        <v>1.88096851924035</v>
      </c>
      <c r="X99" s="4">
        <f t="shared" si="18"/>
        <v>1.64116670535809</v>
      </c>
      <c r="Y99" s="4">
        <f t="shared" si="18"/>
        <v>1.39173260579677</v>
      </c>
      <c r="Z99" s="4">
        <f t="shared" si="18"/>
        <v>1.35275582523041</v>
      </c>
      <c r="AA99" s="4">
        <f t="shared" si="18"/>
        <v>1.23349424538596</v>
      </c>
      <c r="AB99" s="4">
        <f t="shared" si="18"/>
        <v>1.05934700444378</v>
      </c>
      <c r="AC99" s="4">
        <f t="shared" si="18"/>
        <v>0.916715039894478</v>
      </c>
      <c r="AD99" s="4">
        <f t="shared" si="18"/>
        <v>0.893124863493457</v>
      </c>
      <c r="AE99" s="4">
        <f t="shared" si="18"/>
        <v>0.796921330387267</v>
      </c>
      <c r="AF99" s="4">
        <f t="shared" si="18"/>
        <v>0.732950664279911</v>
      </c>
      <c r="AG99" s="4">
        <f t="shared" si="18"/>
        <v>0.684977246002099</v>
      </c>
      <c r="AH99" s="4">
        <f t="shared" si="17"/>
        <v>0.505209686812237</v>
      </c>
      <c r="AI99" s="4">
        <f t="shared" si="17"/>
        <v>0.403767970161345</v>
      </c>
      <c r="AJ99" s="4">
        <f t="shared" si="17"/>
        <v>0.355401965334779</v>
      </c>
    </row>
    <row r="100" spans="1:36">
      <c r="A100" t="str">
        <f>"post-semis_procurement_archetype_"&amp;TEXT(ROUND(Table2691617[[#This Row],[2016]],3),"0.0")</f>
        <v>post-semis_procurement_archetype_10.5</v>
      </c>
      <c r="B100" s="4">
        <f t="shared" si="13"/>
        <v>10.5</v>
      </c>
      <c r="C100" s="4">
        <f t="shared" si="19"/>
        <v>10.5</v>
      </c>
      <c r="D100" s="4">
        <f t="shared" si="19"/>
        <v>10.5</v>
      </c>
      <c r="E100" s="4">
        <f t="shared" si="19"/>
        <v>10.2279927675849</v>
      </c>
      <c r="F100" s="4">
        <f t="shared" si="19"/>
        <v>9.57039941942098</v>
      </c>
      <c r="G100" s="4">
        <f t="shared" si="19"/>
        <v>9.66233257687936</v>
      </c>
      <c r="H100" s="4">
        <f t="shared" si="19"/>
        <v>9.37689757253548</v>
      </c>
      <c r="I100" s="4">
        <f t="shared" si="19"/>
        <v>8.82474327224958</v>
      </c>
      <c r="J100" s="4">
        <f t="shared" si="19"/>
        <v>8.51457069583148</v>
      </c>
      <c r="K100" s="4">
        <f t="shared" si="19"/>
        <v>8.19617198875772</v>
      </c>
      <c r="L100" s="4">
        <f t="shared" si="19"/>
        <v>7.69322396749459</v>
      </c>
      <c r="M100" s="4">
        <f t="shared" si="19"/>
        <v>7.63218171240268</v>
      </c>
      <c r="N100" s="4">
        <f t="shared" si="19"/>
        <v>7.22007767084033</v>
      </c>
      <c r="O100" s="4">
        <f t="shared" si="19"/>
        <v>6.79276004844176</v>
      </c>
      <c r="P100" s="4">
        <f t="shared" si="19"/>
        <v>6.28758217831312</v>
      </c>
      <c r="Q100" s="4">
        <f t="shared" si="19"/>
        <v>5.471903879065</v>
      </c>
      <c r="R100" s="4">
        <f t="shared" si="19"/>
        <v>4.37152795369355</v>
      </c>
      <c r="S100" s="4">
        <f t="shared" si="18"/>
        <v>4.02061590311168</v>
      </c>
      <c r="T100" s="4">
        <f t="shared" si="18"/>
        <v>3.25783188487906</v>
      </c>
      <c r="U100" s="4">
        <f t="shared" si="18"/>
        <v>2.48912187172989</v>
      </c>
      <c r="V100" s="4">
        <f t="shared" si="18"/>
        <v>2.33403272878299</v>
      </c>
      <c r="W100" s="4">
        <f t="shared" si="18"/>
        <v>1.86607709501127</v>
      </c>
      <c r="X100" s="4">
        <f t="shared" si="18"/>
        <v>1.6286160446521</v>
      </c>
      <c r="Y100" s="4">
        <f t="shared" si="18"/>
        <v>1.38161673168482</v>
      </c>
      <c r="Z100" s="4">
        <f t="shared" si="18"/>
        <v>1.34302041290364</v>
      </c>
      <c r="AA100" s="4">
        <f t="shared" si="18"/>
        <v>1.22492297419425</v>
      </c>
      <c r="AB100" s="4">
        <f t="shared" si="18"/>
        <v>1.05247562660419</v>
      </c>
      <c r="AC100" s="4">
        <f t="shared" si="18"/>
        <v>0.911235927169309</v>
      </c>
      <c r="AD100" s="4">
        <f t="shared" si="18"/>
        <v>0.887876020187559</v>
      </c>
      <c r="AE100" s="4">
        <f t="shared" si="18"/>
        <v>0.792611553043554</v>
      </c>
      <c r="AF100" s="4">
        <f t="shared" si="18"/>
        <v>0.729265320085169</v>
      </c>
      <c r="AG100" s="4">
        <f t="shared" si="18"/>
        <v>0.681760181949882</v>
      </c>
      <c r="AH100" s="4">
        <f t="shared" si="17"/>
        <v>0.503747377398334</v>
      </c>
      <c r="AI100" s="4">
        <f t="shared" si="17"/>
        <v>0.403295857886536</v>
      </c>
      <c r="AJ100" s="4">
        <f t="shared" si="17"/>
        <v>0.355401965334779</v>
      </c>
    </row>
    <row r="101" spans="1:36">
      <c r="A101" t="str">
        <f>"post-semis_procurement_archetype_"&amp;TEXT(ROUND(Table2691617[[#This Row],[2016]],3),"0.0")</f>
        <v>post-semis_procurement_archetype_10.4</v>
      </c>
      <c r="B101" s="4">
        <f t="shared" si="13"/>
        <v>10.4</v>
      </c>
      <c r="C101" s="4">
        <f t="shared" si="19"/>
        <v>10.4</v>
      </c>
      <c r="D101" s="4">
        <f t="shared" si="19"/>
        <v>10.4</v>
      </c>
      <c r="E101" s="4">
        <f t="shared" si="19"/>
        <v>10.1306740688201</v>
      </c>
      <c r="F101" s="4">
        <f t="shared" si="19"/>
        <v>9.47956292276929</v>
      </c>
      <c r="G101" s="4">
        <f t="shared" si="19"/>
        <v>9.57058985252753</v>
      </c>
      <c r="H101" s="4">
        <f t="shared" si="19"/>
        <v>9.28796851318415</v>
      </c>
      <c r="I101" s="4">
        <f t="shared" si="19"/>
        <v>8.74125705349577</v>
      </c>
      <c r="J101" s="4">
        <f t="shared" si="19"/>
        <v>8.43414199178016</v>
      </c>
      <c r="K101" s="4">
        <f t="shared" si="19"/>
        <v>8.11888188818764</v>
      </c>
      <c r="L101" s="4">
        <f t="shared" si="19"/>
        <v>7.62089165844611</v>
      </c>
      <c r="M101" s="4">
        <f t="shared" si="19"/>
        <v>7.56045112512655</v>
      </c>
      <c r="N101" s="4">
        <f t="shared" si="19"/>
        <v>7.15240938391513</v>
      </c>
      <c r="O101" s="4">
        <f t="shared" si="19"/>
        <v>6.72930402917802</v>
      </c>
      <c r="P101" s="4">
        <f t="shared" si="19"/>
        <v>6.22910593122371</v>
      </c>
      <c r="Q101" s="4">
        <f t="shared" si="19"/>
        <v>5.4214681506483</v>
      </c>
      <c r="R101" s="4">
        <f t="shared" si="19"/>
        <v>4.33193914027152</v>
      </c>
      <c r="S101" s="4">
        <f t="shared" si="18"/>
        <v>3.98448619225224</v>
      </c>
      <c r="T101" s="4">
        <f t="shared" si="18"/>
        <v>3.22922128927314</v>
      </c>
      <c r="U101" s="4">
        <f t="shared" si="18"/>
        <v>2.46808880665325</v>
      </c>
      <c r="V101" s="4">
        <f t="shared" si="18"/>
        <v>2.31452844919806</v>
      </c>
      <c r="W101" s="4">
        <f t="shared" si="18"/>
        <v>1.85118567078219</v>
      </c>
      <c r="X101" s="4">
        <f t="shared" si="18"/>
        <v>1.61606538394611</v>
      </c>
      <c r="Y101" s="4">
        <f t="shared" si="18"/>
        <v>1.37150085757287</v>
      </c>
      <c r="Z101" s="4">
        <f t="shared" si="18"/>
        <v>1.33328500057686</v>
      </c>
      <c r="AA101" s="4">
        <f t="shared" si="18"/>
        <v>1.21635170300255</v>
      </c>
      <c r="AB101" s="4">
        <f t="shared" si="18"/>
        <v>1.0456042487646</v>
      </c>
      <c r="AC101" s="4">
        <f t="shared" si="18"/>
        <v>0.905756814444141</v>
      </c>
      <c r="AD101" s="4">
        <f t="shared" si="18"/>
        <v>0.882627176881661</v>
      </c>
      <c r="AE101" s="4">
        <f t="shared" si="18"/>
        <v>0.788301775699841</v>
      </c>
      <c r="AF101" s="4">
        <f t="shared" si="18"/>
        <v>0.725579975890428</v>
      </c>
      <c r="AG101" s="4">
        <f t="shared" si="18"/>
        <v>0.678543117897666</v>
      </c>
      <c r="AH101" s="4">
        <f t="shared" si="17"/>
        <v>0.50228506798443</v>
      </c>
      <c r="AI101" s="4">
        <f t="shared" si="17"/>
        <v>0.402823745611726</v>
      </c>
      <c r="AJ101" s="4">
        <f t="shared" si="17"/>
        <v>0.355401965334779</v>
      </c>
    </row>
    <row r="102" spans="1:36">
      <c r="A102" t="str">
        <f>"post-semis_procurement_archetype_"&amp;TEXT(ROUND(Table2691617[[#This Row],[2016]],3),"0.0")</f>
        <v>post-semis_procurement_archetype_10.3</v>
      </c>
      <c r="B102" s="4">
        <f t="shared" si="13"/>
        <v>10.3</v>
      </c>
      <c r="C102" s="4">
        <f t="shared" si="19"/>
        <v>10.3</v>
      </c>
      <c r="D102" s="4">
        <f t="shared" si="19"/>
        <v>10.3</v>
      </c>
      <c r="E102" s="4">
        <f t="shared" si="19"/>
        <v>10.0333553700554</v>
      </c>
      <c r="F102" s="4">
        <f t="shared" si="19"/>
        <v>9.38872642611759</v>
      </c>
      <c r="G102" s="4">
        <f t="shared" si="19"/>
        <v>9.47884712817569</v>
      </c>
      <c r="H102" s="4">
        <f t="shared" si="19"/>
        <v>9.19903945383283</v>
      </c>
      <c r="I102" s="4">
        <f t="shared" si="19"/>
        <v>8.65777083474197</v>
      </c>
      <c r="J102" s="4">
        <f t="shared" si="19"/>
        <v>8.35371328772885</v>
      </c>
      <c r="K102" s="4">
        <f t="shared" si="19"/>
        <v>8.04159178761756</v>
      </c>
      <c r="L102" s="4">
        <f t="shared" si="19"/>
        <v>7.54855934939764</v>
      </c>
      <c r="M102" s="4">
        <f t="shared" si="19"/>
        <v>7.48872053785043</v>
      </c>
      <c r="N102" s="4">
        <f t="shared" si="19"/>
        <v>7.08474109698993</v>
      </c>
      <c r="O102" s="4">
        <f t="shared" si="19"/>
        <v>6.66584800991427</v>
      </c>
      <c r="P102" s="4">
        <f t="shared" si="19"/>
        <v>6.1706296841343</v>
      </c>
      <c r="Q102" s="4">
        <f t="shared" si="19"/>
        <v>5.37103242223159</v>
      </c>
      <c r="R102" s="4">
        <f t="shared" si="19"/>
        <v>4.29235032684949</v>
      </c>
      <c r="S102" s="4">
        <f t="shared" si="18"/>
        <v>3.9483564813928</v>
      </c>
      <c r="T102" s="4">
        <f t="shared" si="18"/>
        <v>3.20061069366722</v>
      </c>
      <c r="U102" s="4">
        <f t="shared" si="18"/>
        <v>2.4470557415766</v>
      </c>
      <c r="V102" s="4">
        <f t="shared" si="18"/>
        <v>2.29502416961313</v>
      </c>
      <c r="W102" s="4">
        <f t="shared" si="18"/>
        <v>1.83629424655312</v>
      </c>
      <c r="X102" s="4">
        <f t="shared" si="18"/>
        <v>1.60351472324012</v>
      </c>
      <c r="Y102" s="4">
        <f t="shared" si="18"/>
        <v>1.36138498346092</v>
      </c>
      <c r="Z102" s="4">
        <f t="shared" si="18"/>
        <v>1.32354958825008</v>
      </c>
      <c r="AA102" s="4">
        <f t="shared" si="18"/>
        <v>1.20778043181084</v>
      </c>
      <c r="AB102" s="4">
        <f t="shared" si="18"/>
        <v>1.03873287092501</v>
      </c>
      <c r="AC102" s="4">
        <f t="shared" si="18"/>
        <v>0.900277701718972</v>
      </c>
      <c r="AD102" s="4">
        <f t="shared" si="18"/>
        <v>0.877378333575763</v>
      </c>
      <c r="AE102" s="4">
        <f t="shared" si="18"/>
        <v>0.783991998356128</v>
      </c>
      <c r="AF102" s="4">
        <f t="shared" si="18"/>
        <v>0.721894631695686</v>
      </c>
      <c r="AG102" s="4">
        <f t="shared" si="18"/>
        <v>0.675326053845449</v>
      </c>
      <c r="AH102" s="4">
        <f t="shared" si="17"/>
        <v>0.500822758570527</v>
      </c>
      <c r="AI102" s="4">
        <f t="shared" si="17"/>
        <v>0.402351633336916</v>
      </c>
      <c r="AJ102" s="4">
        <f t="shared" si="17"/>
        <v>0.355401965334779</v>
      </c>
    </row>
    <row r="103" spans="1:36">
      <c r="A103" t="str">
        <f>"post-semis_procurement_archetype_"&amp;TEXT(ROUND(Table2691617[[#This Row],[2016]],3),"0.0")</f>
        <v>post-semis_procurement_archetype_10.2</v>
      </c>
      <c r="B103" s="4">
        <f t="shared" si="13"/>
        <v>10.2</v>
      </c>
      <c r="C103" s="4">
        <f t="shared" si="19"/>
        <v>10.2</v>
      </c>
      <c r="D103" s="4">
        <f t="shared" si="19"/>
        <v>10.2</v>
      </c>
      <c r="E103" s="4">
        <f t="shared" si="19"/>
        <v>9.93603667129063</v>
      </c>
      <c r="F103" s="4">
        <f t="shared" si="19"/>
        <v>9.2978899294659</v>
      </c>
      <c r="G103" s="4">
        <f t="shared" si="19"/>
        <v>9.38710440382386</v>
      </c>
      <c r="H103" s="4">
        <f t="shared" si="19"/>
        <v>9.11011039448151</v>
      </c>
      <c r="I103" s="4">
        <f t="shared" si="19"/>
        <v>8.57428461598816</v>
      </c>
      <c r="J103" s="4">
        <f t="shared" si="19"/>
        <v>8.27328458367753</v>
      </c>
      <c r="K103" s="4">
        <f t="shared" si="19"/>
        <v>7.96430168704749</v>
      </c>
      <c r="L103" s="4">
        <f t="shared" si="19"/>
        <v>7.47622704034916</v>
      </c>
      <c r="M103" s="4">
        <f t="shared" si="19"/>
        <v>7.4169899505743</v>
      </c>
      <c r="N103" s="4">
        <f t="shared" si="19"/>
        <v>7.01707281006473</v>
      </c>
      <c r="O103" s="4">
        <f t="shared" si="19"/>
        <v>6.60239199065052</v>
      </c>
      <c r="P103" s="4">
        <f t="shared" si="19"/>
        <v>6.11215343704489</v>
      </c>
      <c r="Q103" s="4">
        <f t="shared" si="19"/>
        <v>5.32059669381489</v>
      </c>
      <c r="R103" s="4">
        <f t="shared" si="19"/>
        <v>4.25276151342745</v>
      </c>
      <c r="S103" s="4">
        <f t="shared" si="18"/>
        <v>3.91222677053336</v>
      </c>
      <c r="T103" s="4">
        <f t="shared" si="18"/>
        <v>3.1720000980613</v>
      </c>
      <c r="U103" s="4">
        <f t="shared" si="18"/>
        <v>2.42602267649996</v>
      </c>
      <c r="V103" s="4">
        <f t="shared" si="18"/>
        <v>2.2755198900282</v>
      </c>
      <c r="W103" s="4">
        <f t="shared" si="18"/>
        <v>1.82140282232404</v>
      </c>
      <c r="X103" s="4">
        <f t="shared" si="18"/>
        <v>1.59096406253413</v>
      </c>
      <c r="Y103" s="4">
        <f t="shared" si="18"/>
        <v>1.35126910934897</v>
      </c>
      <c r="Z103" s="4">
        <f t="shared" si="18"/>
        <v>1.3138141759233</v>
      </c>
      <c r="AA103" s="4">
        <f t="shared" si="18"/>
        <v>1.19920916061914</v>
      </c>
      <c r="AB103" s="4">
        <f t="shared" si="18"/>
        <v>1.03186149308542</v>
      </c>
      <c r="AC103" s="4">
        <f t="shared" si="18"/>
        <v>0.894798588993804</v>
      </c>
      <c r="AD103" s="4">
        <f t="shared" si="18"/>
        <v>0.872129490269865</v>
      </c>
      <c r="AE103" s="4">
        <f t="shared" si="18"/>
        <v>0.779682221012415</v>
      </c>
      <c r="AF103" s="4">
        <f t="shared" si="18"/>
        <v>0.718209287500945</v>
      </c>
      <c r="AG103" s="4">
        <f t="shared" si="18"/>
        <v>0.672108989793232</v>
      </c>
      <c r="AH103" s="4">
        <f t="shared" si="17"/>
        <v>0.499360449156624</v>
      </c>
      <c r="AI103" s="4">
        <f t="shared" si="17"/>
        <v>0.401879521062107</v>
      </c>
      <c r="AJ103" s="4">
        <f t="shared" si="17"/>
        <v>0.355401965334779</v>
      </c>
    </row>
    <row r="104" spans="1:36">
      <c r="A104" t="str">
        <f>"post-semis_procurement_archetype_"&amp;TEXT(ROUND(Table2691617[[#This Row],[2016]],3),"0.0")</f>
        <v>post-semis_procurement_archetype_10.1</v>
      </c>
      <c r="B104" s="4">
        <f t="shared" si="13"/>
        <v>10.1</v>
      </c>
      <c r="C104" s="4">
        <f t="shared" si="19"/>
        <v>10.1</v>
      </c>
      <c r="D104" s="4">
        <f t="shared" si="19"/>
        <v>10.1</v>
      </c>
      <c r="E104" s="4">
        <f t="shared" si="19"/>
        <v>9.83871797252589</v>
      </c>
      <c r="F104" s="4">
        <f t="shared" si="19"/>
        <v>9.20705343281421</v>
      </c>
      <c r="G104" s="4">
        <f t="shared" si="19"/>
        <v>9.29536167947203</v>
      </c>
      <c r="H104" s="4">
        <f t="shared" si="19"/>
        <v>9.02118133513018</v>
      </c>
      <c r="I104" s="4">
        <f t="shared" si="19"/>
        <v>8.49079839723436</v>
      </c>
      <c r="J104" s="4">
        <f t="shared" si="19"/>
        <v>8.19285587962621</v>
      </c>
      <c r="K104" s="4">
        <f t="shared" si="19"/>
        <v>7.88701158647741</v>
      </c>
      <c r="L104" s="4">
        <f t="shared" si="19"/>
        <v>7.40389473130068</v>
      </c>
      <c r="M104" s="4">
        <f t="shared" si="19"/>
        <v>7.34525936329817</v>
      </c>
      <c r="N104" s="4">
        <f t="shared" si="19"/>
        <v>6.94940452313953</v>
      </c>
      <c r="O104" s="4">
        <f t="shared" si="19"/>
        <v>6.53893597138677</v>
      </c>
      <c r="P104" s="4">
        <f t="shared" si="19"/>
        <v>6.05367718995548</v>
      </c>
      <c r="Q104" s="4">
        <f t="shared" si="19"/>
        <v>5.27016096539818</v>
      </c>
      <c r="R104" s="4">
        <f t="shared" si="19"/>
        <v>4.21317270000542</v>
      </c>
      <c r="S104" s="4">
        <f t="shared" si="18"/>
        <v>3.87609705967392</v>
      </c>
      <c r="T104" s="4">
        <f t="shared" si="18"/>
        <v>3.14338950245537</v>
      </c>
      <c r="U104" s="4">
        <f t="shared" si="18"/>
        <v>2.40498961142331</v>
      </c>
      <c r="V104" s="4">
        <f t="shared" si="18"/>
        <v>2.25601561044328</v>
      </c>
      <c r="W104" s="4">
        <f t="shared" si="18"/>
        <v>1.80651139809497</v>
      </c>
      <c r="X104" s="4">
        <f t="shared" si="18"/>
        <v>1.57841340182815</v>
      </c>
      <c r="Y104" s="4">
        <f t="shared" si="18"/>
        <v>1.34115323523702</v>
      </c>
      <c r="Z104" s="4">
        <f t="shared" si="18"/>
        <v>1.30407876359653</v>
      </c>
      <c r="AA104" s="4">
        <f t="shared" si="18"/>
        <v>1.19063788942744</v>
      </c>
      <c r="AB104" s="4">
        <f t="shared" si="18"/>
        <v>1.02499011524583</v>
      </c>
      <c r="AC104" s="4">
        <f t="shared" si="18"/>
        <v>0.889319476268636</v>
      </c>
      <c r="AD104" s="4">
        <f t="shared" si="18"/>
        <v>0.866880646963967</v>
      </c>
      <c r="AE104" s="4">
        <f t="shared" si="18"/>
        <v>0.775372443668701</v>
      </c>
      <c r="AF104" s="4">
        <f t="shared" si="18"/>
        <v>0.714523943306203</v>
      </c>
      <c r="AG104" s="4">
        <f t="shared" si="18"/>
        <v>0.668891925741015</v>
      </c>
      <c r="AH104" s="4">
        <f t="shared" si="17"/>
        <v>0.497898139742721</v>
      </c>
      <c r="AI104" s="4">
        <f t="shared" si="17"/>
        <v>0.401407408787297</v>
      </c>
      <c r="AJ104" s="4">
        <f t="shared" si="17"/>
        <v>0.355401965334779</v>
      </c>
    </row>
    <row r="105" spans="1:36">
      <c r="A105" t="str">
        <f>"post-semis_procurement_archetype_"&amp;TEXT(ROUND(Table2691617[[#This Row],[2016]],3),"0.0")</f>
        <v>post-semis_procurement_archetype_10.0</v>
      </c>
      <c r="B105" s="4">
        <f t="shared" si="13"/>
        <v>10</v>
      </c>
      <c r="C105" s="4">
        <f t="shared" si="19"/>
        <v>10</v>
      </c>
      <c r="D105" s="4">
        <f t="shared" si="19"/>
        <v>10</v>
      </c>
      <c r="E105" s="4">
        <f t="shared" si="19"/>
        <v>9.74139927376114</v>
      </c>
      <c r="F105" s="4">
        <f t="shared" si="19"/>
        <v>9.11621693616252</v>
      </c>
      <c r="G105" s="4">
        <f t="shared" si="19"/>
        <v>9.20361895512019</v>
      </c>
      <c r="H105" s="4">
        <f t="shared" si="19"/>
        <v>8.93225227577886</v>
      </c>
      <c r="I105" s="4">
        <f t="shared" si="19"/>
        <v>8.40731217848055</v>
      </c>
      <c r="J105" s="4">
        <f t="shared" si="19"/>
        <v>8.11242717557489</v>
      </c>
      <c r="K105" s="4">
        <f t="shared" si="19"/>
        <v>7.80972148590733</v>
      </c>
      <c r="L105" s="4">
        <f t="shared" si="19"/>
        <v>7.3315624222522</v>
      </c>
      <c r="M105" s="4">
        <f t="shared" si="19"/>
        <v>7.27352877602204</v>
      </c>
      <c r="N105" s="4">
        <f t="shared" si="19"/>
        <v>6.88173623621433</v>
      </c>
      <c r="O105" s="4">
        <f t="shared" si="19"/>
        <v>6.47547995212302</v>
      </c>
      <c r="P105" s="4">
        <f t="shared" si="19"/>
        <v>5.99520094286606</v>
      </c>
      <c r="Q105" s="4">
        <f t="shared" si="19"/>
        <v>5.21972523698147</v>
      </c>
      <c r="R105" s="4">
        <f t="shared" si="19"/>
        <v>4.17358388658339</v>
      </c>
      <c r="S105" s="4">
        <f t="shared" si="18"/>
        <v>3.83996734881448</v>
      </c>
      <c r="T105" s="4">
        <f t="shared" si="18"/>
        <v>3.11477890684945</v>
      </c>
      <c r="U105" s="4">
        <f t="shared" si="18"/>
        <v>2.38395654634667</v>
      </c>
      <c r="V105" s="4">
        <f t="shared" si="18"/>
        <v>2.23651133085835</v>
      </c>
      <c r="W105" s="4">
        <f t="shared" si="18"/>
        <v>1.79161997386589</v>
      </c>
      <c r="X105" s="4">
        <f t="shared" si="18"/>
        <v>1.56586274112216</v>
      </c>
      <c r="Y105" s="4">
        <f t="shared" si="18"/>
        <v>1.33103736112507</v>
      </c>
      <c r="Z105" s="4">
        <f t="shared" si="18"/>
        <v>1.29434335126975</v>
      </c>
      <c r="AA105" s="4">
        <f t="shared" si="18"/>
        <v>1.18206661823573</v>
      </c>
      <c r="AB105" s="4">
        <f t="shared" si="18"/>
        <v>1.01811873740624</v>
      </c>
      <c r="AC105" s="4">
        <f t="shared" si="18"/>
        <v>0.883840363543467</v>
      </c>
      <c r="AD105" s="4">
        <f t="shared" si="18"/>
        <v>0.861631803658069</v>
      </c>
      <c r="AE105" s="4">
        <f t="shared" si="18"/>
        <v>0.771062666324988</v>
      </c>
      <c r="AF105" s="4">
        <f t="shared" si="18"/>
        <v>0.710838599111462</v>
      </c>
      <c r="AG105" s="4">
        <f t="shared" si="18"/>
        <v>0.665674861688799</v>
      </c>
      <c r="AH105" s="4">
        <f t="shared" si="17"/>
        <v>0.496435830328817</v>
      </c>
      <c r="AI105" s="4">
        <f t="shared" si="17"/>
        <v>0.400935296512487</v>
      </c>
      <c r="AJ105" s="4">
        <f t="shared" si="17"/>
        <v>0.355401965334779</v>
      </c>
    </row>
    <row r="106" spans="1:36">
      <c r="A106" t="str">
        <f>"post-semis_procurement_archetype_"&amp;TEXT(ROUND(Table2691617[[#This Row],[2016]],3),"0.0")</f>
        <v>post-semis_procurement_archetype_9.9</v>
      </c>
      <c r="B106" s="4">
        <f t="shared" si="13"/>
        <v>9.9</v>
      </c>
      <c r="C106" s="4">
        <f t="shared" si="19"/>
        <v>9.9</v>
      </c>
      <c r="D106" s="4">
        <f t="shared" si="19"/>
        <v>9.9</v>
      </c>
      <c r="E106" s="4">
        <f t="shared" si="19"/>
        <v>9.6440805749964</v>
      </c>
      <c r="F106" s="4">
        <f t="shared" si="19"/>
        <v>9.02538043951083</v>
      </c>
      <c r="G106" s="4">
        <f t="shared" si="19"/>
        <v>9.11187623076835</v>
      </c>
      <c r="H106" s="4">
        <f t="shared" si="19"/>
        <v>8.84332321642753</v>
      </c>
      <c r="I106" s="4">
        <f t="shared" si="19"/>
        <v>8.32382595972675</v>
      </c>
      <c r="J106" s="4">
        <f t="shared" si="19"/>
        <v>8.03199847152357</v>
      </c>
      <c r="K106" s="4">
        <f t="shared" si="19"/>
        <v>7.73243138533725</v>
      </c>
      <c r="L106" s="4">
        <f t="shared" si="19"/>
        <v>7.25923011320373</v>
      </c>
      <c r="M106" s="4">
        <f t="shared" si="19"/>
        <v>7.20179818874591</v>
      </c>
      <c r="N106" s="4">
        <f t="shared" si="19"/>
        <v>6.81406794928913</v>
      </c>
      <c r="O106" s="4">
        <f t="shared" si="19"/>
        <v>6.41202393285928</v>
      </c>
      <c r="P106" s="4">
        <f t="shared" si="19"/>
        <v>5.93672469577665</v>
      </c>
      <c r="Q106" s="4">
        <f t="shared" si="19"/>
        <v>5.16928950856477</v>
      </c>
      <c r="R106" s="4">
        <f t="shared" si="19"/>
        <v>4.13399507316136</v>
      </c>
      <c r="S106" s="4">
        <f t="shared" si="18"/>
        <v>3.80383763795504</v>
      </c>
      <c r="T106" s="4">
        <f t="shared" si="18"/>
        <v>3.08616831124353</v>
      </c>
      <c r="U106" s="4">
        <f t="shared" si="18"/>
        <v>2.36292348127002</v>
      </c>
      <c r="V106" s="4">
        <f t="shared" si="18"/>
        <v>2.21700705127342</v>
      </c>
      <c r="W106" s="4">
        <f t="shared" si="18"/>
        <v>1.77672854963681</v>
      </c>
      <c r="X106" s="4">
        <f t="shared" si="18"/>
        <v>1.55331208041617</v>
      </c>
      <c r="Y106" s="4">
        <f t="shared" si="18"/>
        <v>1.32092148701312</v>
      </c>
      <c r="Z106" s="4">
        <f t="shared" si="18"/>
        <v>1.28460793894297</v>
      </c>
      <c r="AA106" s="4">
        <f t="shared" si="18"/>
        <v>1.17349534704403</v>
      </c>
      <c r="AB106" s="4">
        <f t="shared" si="18"/>
        <v>1.01124735956665</v>
      </c>
      <c r="AC106" s="4">
        <f t="shared" si="18"/>
        <v>0.878361250818299</v>
      </c>
      <c r="AD106" s="4">
        <f t="shared" si="18"/>
        <v>0.856382960352171</v>
      </c>
      <c r="AE106" s="4">
        <f t="shared" si="18"/>
        <v>0.766752888981275</v>
      </c>
      <c r="AF106" s="4">
        <f t="shared" si="18"/>
        <v>0.70715325491672</v>
      </c>
      <c r="AG106" s="4">
        <f t="shared" si="18"/>
        <v>0.662457797636582</v>
      </c>
      <c r="AH106" s="4">
        <f t="shared" si="17"/>
        <v>0.494973520914914</v>
      </c>
      <c r="AI106" s="4">
        <f t="shared" si="17"/>
        <v>0.400463184237677</v>
      </c>
      <c r="AJ106" s="4">
        <f t="shared" si="17"/>
        <v>0.355401965334779</v>
      </c>
    </row>
    <row r="107" spans="1:36">
      <c r="A107" t="str">
        <f>"post-semis_procurement_archetype_"&amp;TEXT(ROUND(Table2691617[[#This Row],[2016]],3),"0.0")</f>
        <v>post-semis_procurement_archetype_9.8</v>
      </c>
      <c r="B107" s="4">
        <f t="shared" si="13"/>
        <v>9.8</v>
      </c>
      <c r="C107" s="4">
        <f t="shared" si="19"/>
        <v>9.8</v>
      </c>
      <c r="D107" s="4">
        <f t="shared" si="19"/>
        <v>9.8</v>
      </c>
      <c r="E107" s="4">
        <f t="shared" si="19"/>
        <v>9.54676187623165</v>
      </c>
      <c r="F107" s="4">
        <f t="shared" si="19"/>
        <v>8.93454394285914</v>
      </c>
      <c r="G107" s="4">
        <f t="shared" si="19"/>
        <v>9.02013350641652</v>
      </c>
      <c r="H107" s="4">
        <f t="shared" si="19"/>
        <v>8.75439415707621</v>
      </c>
      <c r="I107" s="4">
        <f t="shared" si="19"/>
        <v>8.24033974097294</v>
      </c>
      <c r="J107" s="4">
        <f t="shared" si="19"/>
        <v>7.95156976747226</v>
      </c>
      <c r="K107" s="4">
        <f t="shared" si="19"/>
        <v>7.65514128476717</v>
      </c>
      <c r="L107" s="4">
        <f t="shared" si="19"/>
        <v>7.18689780415525</v>
      </c>
      <c r="M107" s="4">
        <f t="shared" si="19"/>
        <v>7.13006760146979</v>
      </c>
      <c r="N107" s="4">
        <f t="shared" si="19"/>
        <v>6.74639966236392</v>
      </c>
      <c r="O107" s="4">
        <f t="shared" si="19"/>
        <v>6.34856791359553</v>
      </c>
      <c r="P107" s="4">
        <f t="shared" si="19"/>
        <v>5.87824844868724</v>
      </c>
      <c r="Q107" s="4">
        <f t="shared" si="19"/>
        <v>5.11885378014806</v>
      </c>
      <c r="R107" s="4">
        <f t="shared" si="19"/>
        <v>4.09440625973933</v>
      </c>
      <c r="S107" s="4">
        <f t="shared" si="18"/>
        <v>3.7677079270956</v>
      </c>
      <c r="T107" s="4">
        <f t="shared" si="18"/>
        <v>3.05755771563761</v>
      </c>
      <c r="U107" s="4">
        <f t="shared" si="18"/>
        <v>2.34189041619338</v>
      </c>
      <c r="V107" s="4">
        <f t="shared" si="18"/>
        <v>2.19750277168849</v>
      </c>
      <c r="W107" s="4">
        <f t="shared" si="18"/>
        <v>1.76183712540774</v>
      </c>
      <c r="X107" s="4">
        <f t="shared" si="18"/>
        <v>1.54076141971018</v>
      </c>
      <c r="Y107" s="4">
        <f t="shared" si="18"/>
        <v>1.31080561290117</v>
      </c>
      <c r="Z107" s="4">
        <f t="shared" si="18"/>
        <v>1.27487252661619</v>
      </c>
      <c r="AA107" s="4">
        <f t="shared" si="18"/>
        <v>1.16492407585232</v>
      </c>
      <c r="AB107" s="4">
        <f t="shared" si="18"/>
        <v>1.00437598172706</v>
      </c>
      <c r="AC107" s="4">
        <f t="shared" si="18"/>
        <v>0.87288213809313</v>
      </c>
      <c r="AD107" s="4">
        <f t="shared" si="18"/>
        <v>0.851134117046273</v>
      </c>
      <c r="AE107" s="4">
        <f t="shared" si="18"/>
        <v>0.762443111637562</v>
      </c>
      <c r="AF107" s="4">
        <f t="shared" si="18"/>
        <v>0.703467910721979</v>
      </c>
      <c r="AG107" s="4">
        <f t="shared" si="18"/>
        <v>0.659240733584365</v>
      </c>
      <c r="AH107" s="4">
        <f t="shared" si="17"/>
        <v>0.493511211501011</v>
      </c>
      <c r="AI107" s="4">
        <f t="shared" si="17"/>
        <v>0.399991071962868</v>
      </c>
      <c r="AJ107" s="4">
        <f t="shared" si="17"/>
        <v>0.355401965334779</v>
      </c>
    </row>
    <row r="108" spans="1:36">
      <c r="A108" t="str">
        <f>"post-semis_procurement_archetype_"&amp;TEXT(ROUND(Table2691617[[#This Row],[2016]],3),"0.0")</f>
        <v>post-semis_procurement_archetype_9.7</v>
      </c>
      <c r="B108" s="4">
        <f t="shared" si="13"/>
        <v>9.7</v>
      </c>
      <c r="C108" s="4">
        <f t="shared" si="19"/>
        <v>9.7</v>
      </c>
      <c r="D108" s="4">
        <f t="shared" si="19"/>
        <v>9.7</v>
      </c>
      <c r="E108" s="4">
        <f t="shared" si="19"/>
        <v>9.44944317746691</v>
      </c>
      <c r="F108" s="4">
        <f t="shared" si="19"/>
        <v>8.84370744620745</v>
      </c>
      <c r="G108" s="4">
        <f t="shared" si="19"/>
        <v>8.92839078206469</v>
      </c>
      <c r="H108" s="4">
        <f t="shared" si="19"/>
        <v>8.66546509772489</v>
      </c>
      <c r="I108" s="4">
        <f t="shared" si="19"/>
        <v>8.15685352221914</v>
      </c>
      <c r="J108" s="4">
        <f t="shared" si="19"/>
        <v>7.87114106342094</v>
      </c>
      <c r="K108" s="4">
        <f t="shared" si="19"/>
        <v>7.5778511841971</v>
      </c>
      <c r="L108" s="4">
        <f t="shared" si="19"/>
        <v>7.11456549510677</v>
      </c>
      <c r="M108" s="4">
        <f t="shared" si="19"/>
        <v>7.05833701419366</v>
      </c>
      <c r="N108" s="4">
        <f t="shared" si="19"/>
        <v>6.67873137543872</v>
      </c>
      <c r="O108" s="4">
        <f t="shared" si="19"/>
        <v>6.28511189433178</v>
      </c>
      <c r="P108" s="4">
        <f t="shared" si="19"/>
        <v>5.81977220159783</v>
      </c>
      <c r="Q108" s="4">
        <f t="shared" si="19"/>
        <v>5.06841805173136</v>
      </c>
      <c r="R108" s="4">
        <f t="shared" ref="R108:AG123" si="20">(($B108-$AJ$2)*((R$2-$AJ$2)/($B$2-$AJ$2)))+$AJ$2</f>
        <v>4.05481744631729</v>
      </c>
      <c r="S108" s="4">
        <f t="shared" si="20"/>
        <v>3.73157821623616</v>
      </c>
      <c r="T108" s="4">
        <f t="shared" si="20"/>
        <v>3.02894712003169</v>
      </c>
      <c r="U108" s="4">
        <f t="shared" si="20"/>
        <v>2.32085735111674</v>
      </c>
      <c r="V108" s="4">
        <f t="shared" si="20"/>
        <v>2.17799849210356</v>
      </c>
      <c r="W108" s="4">
        <f t="shared" si="20"/>
        <v>1.74694570117866</v>
      </c>
      <c r="X108" s="4">
        <f t="shared" si="20"/>
        <v>1.52821075900419</v>
      </c>
      <c r="Y108" s="4">
        <f t="shared" si="20"/>
        <v>1.30068973878922</v>
      </c>
      <c r="Z108" s="4">
        <f t="shared" si="20"/>
        <v>1.26513711428941</v>
      </c>
      <c r="AA108" s="4">
        <f t="shared" si="20"/>
        <v>1.15635280466062</v>
      </c>
      <c r="AB108" s="4">
        <f t="shared" si="20"/>
        <v>0.997504603887472</v>
      </c>
      <c r="AC108" s="4">
        <f t="shared" si="20"/>
        <v>0.867403025367962</v>
      </c>
      <c r="AD108" s="4">
        <f t="shared" si="20"/>
        <v>0.845885273740375</v>
      </c>
      <c r="AE108" s="4">
        <f t="shared" si="20"/>
        <v>0.758133334293849</v>
      </c>
      <c r="AF108" s="4">
        <f t="shared" si="20"/>
        <v>0.699782566527237</v>
      </c>
      <c r="AG108" s="4">
        <f t="shared" si="20"/>
        <v>0.656023669532148</v>
      </c>
      <c r="AH108" s="4">
        <f t="shared" si="17"/>
        <v>0.492048902087107</v>
      </c>
      <c r="AI108" s="4">
        <f t="shared" si="17"/>
        <v>0.399518959688058</v>
      </c>
      <c r="AJ108" s="4">
        <f t="shared" si="17"/>
        <v>0.355401965334779</v>
      </c>
    </row>
    <row r="109" spans="1:36">
      <c r="A109" t="str">
        <f>"post-semis_procurement_archetype_"&amp;TEXT(ROUND(Table2691617[[#This Row],[2016]],3),"0.0")</f>
        <v>post-semis_procurement_archetype_9.6</v>
      </c>
      <c r="B109" s="4">
        <f t="shared" si="13"/>
        <v>9.6</v>
      </c>
      <c r="C109" s="4">
        <f t="shared" ref="C109:R124" si="21">(($B109-$AJ$2)*((C$2-$AJ$2)/($B$2-$AJ$2)))+$AJ$2</f>
        <v>9.6</v>
      </c>
      <c r="D109" s="4">
        <f t="shared" si="21"/>
        <v>9.6</v>
      </c>
      <c r="E109" s="4">
        <f t="shared" si="21"/>
        <v>9.35212447870216</v>
      </c>
      <c r="F109" s="4">
        <f t="shared" si="21"/>
        <v>8.75287094955576</v>
      </c>
      <c r="G109" s="4">
        <f t="shared" si="21"/>
        <v>8.83664805771285</v>
      </c>
      <c r="H109" s="4">
        <f t="shared" si="21"/>
        <v>8.57653603837356</v>
      </c>
      <c r="I109" s="4">
        <f t="shared" si="21"/>
        <v>8.07336730346534</v>
      </c>
      <c r="J109" s="4">
        <f t="shared" si="21"/>
        <v>7.79071235936962</v>
      </c>
      <c r="K109" s="4">
        <f t="shared" si="21"/>
        <v>7.50056108362702</v>
      </c>
      <c r="L109" s="4">
        <f t="shared" si="21"/>
        <v>7.0422331860583</v>
      </c>
      <c r="M109" s="4">
        <f t="shared" si="21"/>
        <v>6.98660642691753</v>
      </c>
      <c r="N109" s="4">
        <f t="shared" si="21"/>
        <v>6.61106308851352</v>
      </c>
      <c r="O109" s="4">
        <f t="shared" si="21"/>
        <v>6.22165587506803</v>
      </c>
      <c r="P109" s="4">
        <f t="shared" si="21"/>
        <v>5.76129595450842</v>
      </c>
      <c r="Q109" s="4">
        <f t="shared" si="21"/>
        <v>5.01798232331465</v>
      </c>
      <c r="R109" s="4">
        <f t="shared" si="21"/>
        <v>4.01522863289526</v>
      </c>
      <c r="S109" s="4">
        <f t="shared" si="20"/>
        <v>3.69544850537673</v>
      </c>
      <c r="T109" s="4">
        <f t="shared" si="20"/>
        <v>3.00033652442577</v>
      </c>
      <c r="U109" s="4">
        <f t="shared" si="20"/>
        <v>2.29982428604009</v>
      </c>
      <c r="V109" s="4">
        <f t="shared" si="20"/>
        <v>2.15849421251864</v>
      </c>
      <c r="W109" s="4">
        <f t="shared" si="20"/>
        <v>1.73205427694959</v>
      </c>
      <c r="X109" s="4">
        <f t="shared" si="20"/>
        <v>1.5156600982982</v>
      </c>
      <c r="Y109" s="4">
        <f t="shared" si="20"/>
        <v>1.29057386467727</v>
      </c>
      <c r="Z109" s="4">
        <f t="shared" si="20"/>
        <v>1.25540170196264</v>
      </c>
      <c r="AA109" s="4">
        <f t="shared" si="20"/>
        <v>1.14778153346891</v>
      </c>
      <c r="AB109" s="4">
        <f t="shared" si="20"/>
        <v>0.990633226047883</v>
      </c>
      <c r="AC109" s="4">
        <f t="shared" si="20"/>
        <v>0.861923912642793</v>
      </c>
      <c r="AD109" s="4">
        <f t="shared" si="20"/>
        <v>0.840636430434477</v>
      </c>
      <c r="AE109" s="4">
        <f t="shared" si="20"/>
        <v>0.753823556950135</v>
      </c>
      <c r="AF109" s="4">
        <f t="shared" si="20"/>
        <v>0.696097222332496</v>
      </c>
      <c r="AG109" s="4">
        <f t="shared" si="20"/>
        <v>0.652806605479932</v>
      </c>
      <c r="AH109" s="4">
        <f t="shared" si="17"/>
        <v>0.490586592673204</v>
      </c>
      <c r="AI109" s="4">
        <f t="shared" si="17"/>
        <v>0.399046847413248</v>
      </c>
      <c r="AJ109" s="4">
        <f t="shared" si="17"/>
        <v>0.355401965334779</v>
      </c>
    </row>
    <row r="110" spans="1:36">
      <c r="A110" t="str">
        <f>"post-semis_procurement_archetype_"&amp;TEXT(ROUND(Table2691617[[#This Row],[2016]],3),"0.0")</f>
        <v>post-semis_procurement_archetype_9.5</v>
      </c>
      <c r="B110" s="4">
        <f t="shared" si="13"/>
        <v>9.5</v>
      </c>
      <c r="C110" s="4">
        <f t="shared" si="21"/>
        <v>9.5</v>
      </c>
      <c r="D110" s="4">
        <f t="shared" si="21"/>
        <v>9.5</v>
      </c>
      <c r="E110" s="4">
        <f t="shared" si="21"/>
        <v>9.25480577993742</v>
      </c>
      <c r="F110" s="4">
        <f t="shared" si="21"/>
        <v>8.66203445290407</v>
      </c>
      <c r="G110" s="4">
        <f t="shared" si="21"/>
        <v>8.74490533336101</v>
      </c>
      <c r="H110" s="4">
        <f t="shared" si="21"/>
        <v>8.48760697902224</v>
      </c>
      <c r="I110" s="4">
        <f t="shared" si="21"/>
        <v>7.98988108471153</v>
      </c>
      <c r="J110" s="4">
        <f t="shared" si="21"/>
        <v>7.7102836553183</v>
      </c>
      <c r="K110" s="4">
        <f t="shared" si="21"/>
        <v>7.42327098305694</v>
      </c>
      <c r="L110" s="4">
        <f t="shared" si="21"/>
        <v>6.96990087700982</v>
      </c>
      <c r="M110" s="4">
        <f t="shared" si="21"/>
        <v>6.9148758396414</v>
      </c>
      <c r="N110" s="4">
        <f t="shared" si="21"/>
        <v>6.54339480158832</v>
      </c>
      <c r="O110" s="4">
        <f t="shared" si="21"/>
        <v>6.15819985580428</v>
      </c>
      <c r="P110" s="4">
        <f t="shared" si="21"/>
        <v>5.70281970741901</v>
      </c>
      <c r="Q110" s="4">
        <f t="shared" si="21"/>
        <v>4.96754659489795</v>
      </c>
      <c r="R110" s="4">
        <f t="shared" si="21"/>
        <v>3.97563981947323</v>
      </c>
      <c r="S110" s="4">
        <f t="shared" si="20"/>
        <v>3.65931879451729</v>
      </c>
      <c r="T110" s="4">
        <f t="shared" si="20"/>
        <v>2.97172592881985</v>
      </c>
      <c r="U110" s="4">
        <f t="shared" si="20"/>
        <v>2.27879122096345</v>
      </c>
      <c r="V110" s="4">
        <f t="shared" si="20"/>
        <v>2.13898993293371</v>
      </c>
      <c r="W110" s="4">
        <f t="shared" si="20"/>
        <v>1.71716285272051</v>
      </c>
      <c r="X110" s="4">
        <f t="shared" si="20"/>
        <v>1.50310943759221</v>
      </c>
      <c r="Y110" s="4">
        <f t="shared" si="20"/>
        <v>1.28045799056532</v>
      </c>
      <c r="Z110" s="4">
        <f t="shared" si="20"/>
        <v>1.24566628963586</v>
      </c>
      <c r="AA110" s="4">
        <f t="shared" si="20"/>
        <v>1.13921026227721</v>
      </c>
      <c r="AB110" s="4">
        <f t="shared" si="20"/>
        <v>0.983761848208294</v>
      </c>
      <c r="AC110" s="4">
        <f t="shared" si="20"/>
        <v>0.856444799917625</v>
      </c>
      <c r="AD110" s="4">
        <f t="shared" si="20"/>
        <v>0.835387587128579</v>
      </c>
      <c r="AE110" s="4">
        <f t="shared" si="20"/>
        <v>0.749513779606422</v>
      </c>
      <c r="AF110" s="4">
        <f t="shared" si="20"/>
        <v>0.692411878137755</v>
      </c>
      <c r="AG110" s="4">
        <f t="shared" si="20"/>
        <v>0.649589541427715</v>
      </c>
      <c r="AH110" s="4">
        <f t="shared" si="17"/>
        <v>0.489124283259301</v>
      </c>
      <c r="AI110" s="4">
        <f t="shared" si="17"/>
        <v>0.398574735138439</v>
      </c>
      <c r="AJ110" s="4">
        <f t="shared" si="17"/>
        <v>0.355401965334779</v>
      </c>
    </row>
    <row r="111" spans="1:36">
      <c r="A111" t="str">
        <f>"post-semis_procurement_archetype_"&amp;TEXT(ROUND(Table2691617[[#This Row],[2016]],3),"0.0")</f>
        <v>post-semis_procurement_archetype_9.4</v>
      </c>
      <c r="B111" s="4">
        <f t="shared" si="13"/>
        <v>9.4</v>
      </c>
      <c r="C111" s="4">
        <f t="shared" si="21"/>
        <v>9.4</v>
      </c>
      <c r="D111" s="4">
        <f t="shared" si="21"/>
        <v>9.4</v>
      </c>
      <c r="E111" s="4">
        <f t="shared" si="21"/>
        <v>9.15748708117267</v>
      </c>
      <c r="F111" s="4">
        <f t="shared" si="21"/>
        <v>8.57119795625237</v>
      </c>
      <c r="G111" s="4">
        <f t="shared" si="21"/>
        <v>8.65316260900918</v>
      </c>
      <c r="H111" s="4">
        <f t="shared" si="21"/>
        <v>8.39867791967091</v>
      </c>
      <c r="I111" s="4">
        <f t="shared" si="21"/>
        <v>7.90639486595772</v>
      </c>
      <c r="J111" s="4">
        <f t="shared" si="21"/>
        <v>7.62985495126699</v>
      </c>
      <c r="K111" s="4">
        <f t="shared" si="21"/>
        <v>7.34598088248686</v>
      </c>
      <c r="L111" s="4">
        <f t="shared" si="21"/>
        <v>6.89756856796134</v>
      </c>
      <c r="M111" s="4">
        <f t="shared" si="21"/>
        <v>6.84314525236527</v>
      </c>
      <c r="N111" s="4">
        <f t="shared" si="21"/>
        <v>6.47572651466312</v>
      </c>
      <c r="O111" s="4">
        <f t="shared" si="21"/>
        <v>6.09474383654053</v>
      </c>
      <c r="P111" s="4">
        <f t="shared" si="21"/>
        <v>5.6443434603296</v>
      </c>
      <c r="Q111" s="4">
        <f t="shared" si="21"/>
        <v>4.91711086648124</v>
      </c>
      <c r="R111" s="4">
        <f t="shared" si="21"/>
        <v>3.9360510060512</v>
      </c>
      <c r="S111" s="4">
        <f t="shared" si="20"/>
        <v>3.62318908365785</v>
      </c>
      <c r="T111" s="4">
        <f t="shared" si="20"/>
        <v>2.94311533321393</v>
      </c>
      <c r="U111" s="4">
        <f t="shared" si="20"/>
        <v>2.2577581558868</v>
      </c>
      <c r="V111" s="4">
        <f t="shared" si="20"/>
        <v>2.11948565334878</v>
      </c>
      <c r="W111" s="4">
        <f t="shared" si="20"/>
        <v>1.70227142849144</v>
      </c>
      <c r="X111" s="4">
        <f t="shared" si="20"/>
        <v>1.49055877688622</v>
      </c>
      <c r="Y111" s="4">
        <f t="shared" si="20"/>
        <v>1.27034211645337</v>
      </c>
      <c r="Z111" s="4">
        <f t="shared" si="20"/>
        <v>1.23593087730908</v>
      </c>
      <c r="AA111" s="4">
        <f t="shared" si="20"/>
        <v>1.1306389910855</v>
      </c>
      <c r="AB111" s="4">
        <f t="shared" si="20"/>
        <v>0.976890470368704</v>
      </c>
      <c r="AC111" s="4">
        <f t="shared" si="20"/>
        <v>0.850965687192456</v>
      </c>
      <c r="AD111" s="4">
        <f t="shared" si="20"/>
        <v>0.830138743822681</v>
      </c>
      <c r="AE111" s="4">
        <f t="shared" si="20"/>
        <v>0.745204002262709</v>
      </c>
      <c r="AF111" s="4">
        <f t="shared" si="20"/>
        <v>0.688726533943013</v>
      </c>
      <c r="AG111" s="4">
        <f t="shared" si="20"/>
        <v>0.646372477375498</v>
      </c>
      <c r="AH111" s="4">
        <f t="shared" si="17"/>
        <v>0.487661973845398</v>
      </c>
      <c r="AI111" s="4">
        <f t="shared" si="17"/>
        <v>0.398102622863629</v>
      </c>
      <c r="AJ111" s="4">
        <f t="shared" si="17"/>
        <v>0.355401965334779</v>
      </c>
    </row>
    <row r="112" spans="1:36">
      <c r="A112" t="str">
        <f>"post-semis_procurement_archetype_"&amp;TEXT(ROUND(Table2691617[[#This Row],[2016]],3),"0.0")</f>
        <v>post-semis_procurement_archetype_9.3</v>
      </c>
      <c r="B112" s="4">
        <f t="shared" si="13"/>
        <v>9.3</v>
      </c>
      <c r="C112" s="4">
        <f t="shared" si="21"/>
        <v>9.3</v>
      </c>
      <c r="D112" s="4">
        <f t="shared" si="21"/>
        <v>9.3</v>
      </c>
      <c r="E112" s="4">
        <f t="shared" si="21"/>
        <v>9.06016838240793</v>
      </c>
      <c r="F112" s="4">
        <f t="shared" si="21"/>
        <v>8.48036145960068</v>
      </c>
      <c r="G112" s="4">
        <f t="shared" si="21"/>
        <v>8.56141988465734</v>
      </c>
      <c r="H112" s="4">
        <f t="shared" si="21"/>
        <v>8.30974886031959</v>
      </c>
      <c r="I112" s="4">
        <f t="shared" si="21"/>
        <v>7.82290864720392</v>
      </c>
      <c r="J112" s="4">
        <f t="shared" si="21"/>
        <v>7.54942624721567</v>
      </c>
      <c r="K112" s="4">
        <f t="shared" si="21"/>
        <v>7.26869078191678</v>
      </c>
      <c r="L112" s="4">
        <f t="shared" si="21"/>
        <v>6.82523625891286</v>
      </c>
      <c r="M112" s="4">
        <f t="shared" si="21"/>
        <v>6.77141466508915</v>
      </c>
      <c r="N112" s="4">
        <f t="shared" si="21"/>
        <v>6.40805822773792</v>
      </c>
      <c r="O112" s="4">
        <f t="shared" si="21"/>
        <v>6.03128781727679</v>
      </c>
      <c r="P112" s="4">
        <f t="shared" si="21"/>
        <v>5.58586721324019</v>
      </c>
      <c r="Q112" s="4">
        <f t="shared" si="21"/>
        <v>4.86667513806453</v>
      </c>
      <c r="R112" s="4">
        <f t="shared" si="21"/>
        <v>3.89646219262916</v>
      </c>
      <c r="S112" s="4">
        <f t="shared" si="20"/>
        <v>3.58705937279841</v>
      </c>
      <c r="T112" s="4">
        <f t="shared" si="20"/>
        <v>2.91450473760801</v>
      </c>
      <c r="U112" s="4">
        <f t="shared" si="20"/>
        <v>2.23672509081016</v>
      </c>
      <c r="V112" s="4">
        <f t="shared" si="20"/>
        <v>2.09998137376385</v>
      </c>
      <c r="W112" s="4">
        <f t="shared" si="20"/>
        <v>1.68738000426236</v>
      </c>
      <c r="X112" s="4">
        <f t="shared" si="20"/>
        <v>1.47800811618023</v>
      </c>
      <c r="Y112" s="4">
        <f t="shared" si="20"/>
        <v>1.26022624234142</v>
      </c>
      <c r="Z112" s="4">
        <f t="shared" si="20"/>
        <v>1.2261954649823</v>
      </c>
      <c r="AA112" s="4">
        <f t="shared" si="20"/>
        <v>1.1220677198938</v>
      </c>
      <c r="AB112" s="4">
        <f t="shared" si="20"/>
        <v>0.970019092529115</v>
      </c>
      <c r="AC112" s="4">
        <f t="shared" si="20"/>
        <v>0.845486574467288</v>
      </c>
      <c r="AD112" s="4">
        <f t="shared" si="20"/>
        <v>0.824889900516784</v>
      </c>
      <c r="AE112" s="4">
        <f t="shared" si="20"/>
        <v>0.740894224918996</v>
      </c>
      <c r="AF112" s="4">
        <f t="shared" si="20"/>
        <v>0.685041189748272</v>
      </c>
      <c r="AG112" s="4">
        <f t="shared" si="20"/>
        <v>0.643155413323281</v>
      </c>
      <c r="AH112" s="4">
        <f t="shared" si="17"/>
        <v>0.486199664431494</v>
      </c>
      <c r="AI112" s="4">
        <f t="shared" si="17"/>
        <v>0.397630510588819</v>
      </c>
      <c r="AJ112" s="4">
        <f t="shared" si="17"/>
        <v>0.355401965334779</v>
      </c>
    </row>
    <row r="113" spans="1:36">
      <c r="A113" t="str">
        <f>"post-semis_procurement_archetype_"&amp;TEXT(ROUND(Table2691617[[#This Row],[2016]],3),"0.0")</f>
        <v>post-semis_procurement_archetype_9.2</v>
      </c>
      <c r="B113" s="4">
        <f t="shared" si="13"/>
        <v>9.2</v>
      </c>
      <c r="C113" s="4">
        <f t="shared" si="21"/>
        <v>9.2</v>
      </c>
      <c r="D113" s="4">
        <f t="shared" si="21"/>
        <v>9.2</v>
      </c>
      <c r="E113" s="4">
        <f t="shared" si="21"/>
        <v>8.96284968364318</v>
      </c>
      <c r="F113" s="4">
        <f t="shared" si="21"/>
        <v>8.38952496294899</v>
      </c>
      <c r="G113" s="4">
        <f t="shared" si="21"/>
        <v>8.46967716030551</v>
      </c>
      <c r="H113" s="4">
        <f t="shared" si="21"/>
        <v>8.22081980096827</v>
      </c>
      <c r="I113" s="4">
        <f t="shared" si="21"/>
        <v>7.73942242845012</v>
      </c>
      <c r="J113" s="4">
        <f t="shared" si="21"/>
        <v>7.46899754316435</v>
      </c>
      <c r="K113" s="4">
        <f t="shared" si="21"/>
        <v>7.1914006813467</v>
      </c>
      <c r="L113" s="4">
        <f t="shared" si="21"/>
        <v>6.75290394986439</v>
      </c>
      <c r="M113" s="4">
        <f t="shared" si="21"/>
        <v>6.69968407781302</v>
      </c>
      <c r="N113" s="4">
        <f t="shared" si="21"/>
        <v>6.34038994081272</v>
      </c>
      <c r="O113" s="4">
        <f t="shared" si="21"/>
        <v>5.96783179801304</v>
      </c>
      <c r="P113" s="4">
        <f t="shared" si="21"/>
        <v>5.52739096615078</v>
      </c>
      <c r="Q113" s="4">
        <f t="shared" si="21"/>
        <v>4.81623940964783</v>
      </c>
      <c r="R113" s="4">
        <f t="shared" si="21"/>
        <v>3.85687337920713</v>
      </c>
      <c r="S113" s="4">
        <f t="shared" si="20"/>
        <v>3.55092966193897</v>
      </c>
      <c r="T113" s="4">
        <f t="shared" si="20"/>
        <v>2.88589414200209</v>
      </c>
      <c r="U113" s="4">
        <f t="shared" si="20"/>
        <v>2.21569202573351</v>
      </c>
      <c r="V113" s="4">
        <f t="shared" si="20"/>
        <v>2.08047709417892</v>
      </c>
      <c r="W113" s="4">
        <f t="shared" si="20"/>
        <v>1.67248858003328</v>
      </c>
      <c r="X113" s="4">
        <f t="shared" si="20"/>
        <v>1.46545745547424</v>
      </c>
      <c r="Y113" s="4">
        <f t="shared" si="20"/>
        <v>1.25011036822947</v>
      </c>
      <c r="Z113" s="4">
        <f t="shared" si="20"/>
        <v>1.21646005265553</v>
      </c>
      <c r="AA113" s="4">
        <f t="shared" si="20"/>
        <v>1.1134964487021</v>
      </c>
      <c r="AB113" s="4">
        <f t="shared" si="20"/>
        <v>0.963147714689526</v>
      </c>
      <c r="AC113" s="4">
        <f t="shared" si="20"/>
        <v>0.84000746174212</v>
      </c>
      <c r="AD113" s="4">
        <f t="shared" si="20"/>
        <v>0.819641057210886</v>
      </c>
      <c r="AE113" s="4">
        <f t="shared" si="20"/>
        <v>0.736584447575283</v>
      </c>
      <c r="AF113" s="4">
        <f t="shared" si="20"/>
        <v>0.68135584555353</v>
      </c>
      <c r="AG113" s="4">
        <f t="shared" si="20"/>
        <v>0.639938349271064</v>
      </c>
      <c r="AH113" s="4">
        <f t="shared" si="17"/>
        <v>0.484737355017591</v>
      </c>
      <c r="AI113" s="4">
        <f t="shared" si="17"/>
        <v>0.39715839831401</v>
      </c>
      <c r="AJ113" s="4">
        <f t="shared" si="17"/>
        <v>0.355401965334779</v>
      </c>
    </row>
    <row r="114" spans="1:36">
      <c r="A114" t="str">
        <f>"post-semis_procurement_archetype_"&amp;TEXT(ROUND(Table2691617[[#This Row],[2016]],3),"0.0")</f>
        <v>post-semis_procurement_archetype_9.1</v>
      </c>
      <c r="B114" s="4">
        <f t="shared" si="13"/>
        <v>9.1</v>
      </c>
      <c r="C114" s="4">
        <f t="shared" si="21"/>
        <v>9.1</v>
      </c>
      <c r="D114" s="4">
        <f t="shared" si="21"/>
        <v>9.1</v>
      </c>
      <c r="E114" s="4">
        <f t="shared" si="21"/>
        <v>8.86553098487844</v>
      </c>
      <c r="F114" s="4">
        <f t="shared" si="21"/>
        <v>8.2986884662973</v>
      </c>
      <c r="G114" s="4">
        <f t="shared" si="21"/>
        <v>8.37793443595367</v>
      </c>
      <c r="H114" s="4">
        <f t="shared" si="21"/>
        <v>8.13189074161694</v>
      </c>
      <c r="I114" s="4">
        <f t="shared" si="21"/>
        <v>7.65593620969631</v>
      </c>
      <c r="J114" s="4">
        <f t="shared" si="21"/>
        <v>7.38856883911303</v>
      </c>
      <c r="K114" s="4">
        <f t="shared" si="21"/>
        <v>7.11411058077662</v>
      </c>
      <c r="L114" s="4">
        <f t="shared" si="21"/>
        <v>6.68057164081591</v>
      </c>
      <c r="M114" s="4">
        <f t="shared" si="21"/>
        <v>6.62795349053689</v>
      </c>
      <c r="N114" s="4">
        <f t="shared" si="21"/>
        <v>6.27272165388752</v>
      </c>
      <c r="O114" s="4">
        <f t="shared" si="21"/>
        <v>5.90437577874929</v>
      </c>
      <c r="P114" s="4">
        <f t="shared" si="21"/>
        <v>5.46891471906137</v>
      </c>
      <c r="Q114" s="4">
        <f t="shared" si="21"/>
        <v>4.76580368123112</v>
      </c>
      <c r="R114" s="4">
        <f t="shared" si="21"/>
        <v>3.8172845657851</v>
      </c>
      <c r="S114" s="4">
        <f t="shared" si="20"/>
        <v>3.51479995107953</v>
      </c>
      <c r="T114" s="4">
        <f t="shared" si="20"/>
        <v>2.85728354639616</v>
      </c>
      <c r="U114" s="4">
        <f t="shared" si="20"/>
        <v>2.19465896065687</v>
      </c>
      <c r="V114" s="4">
        <f t="shared" si="20"/>
        <v>2.060972814594</v>
      </c>
      <c r="W114" s="4">
        <f t="shared" si="20"/>
        <v>1.65759715580421</v>
      </c>
      <c r="X114" s="4">
        <f t="shared" si="20"/>
        <v>1.45290679476825</v>
      </c>
      <c r="Y114" s="4">
        <f t="shared" si="20"/>
        <v>1.23999449411752</v>
      </c>
      <c r="Z114" s="4">
        <f t="shared" si="20"/>
        <v>1.20672464032875</v>
      </c>
      <c r="AA114" s="4">
        <f t="shared" si="20"/>
        <v>1.10492517751039</v>
      </c>
      <c r="AB114" s="4">
        <f t="shared" si="20"/>
        <v>0.956276336849936</v>
      </c>
      <c r="AC114" s="4">
        <f t="shared" si="20"/>
        <v>0.834528349016951</v>
      </c>
      <c r="AD114" s="4">
        <f t="shared" si="20"/>
        <v>0.814392213904988</v>
      </c>
      <c r="AE114" s="4">
        <f t="shared" si="20"/>
        <v>0.732274670231569</v>
      </c>
      <c r="AF114" s="4">
        <f t="shared" si="20"/>
        <v>0.677670501358789</v>
      </c>
      <c r="AG114" s="4">
        <f t="shared" si="20"/>
        <v>0.636721285218848</v>
      </c>
      <c r="AH114" s="4">
        <f t="shared" si="17"/>
        <v>0.483275045603688</v>
      </c>
      <c r="AI114" s="4">
        <f t="shared" si="17"/>
        <v>0.3966862860392</v>
      </c>
      <c r="AJ114" s="4">
        <f t="shared" si="17"/>
        <v>0.355401965334779</v>
      </c>
    </row>
    <row r="115" spans="1:36">
      <c r="A115" t="str">
        <f>"post-semis_procurement_archetype_"&amp;TEXT(ROUND(Table2691617[[#This Row],[2016]],3),"0.0")</f>
        <v>post-semis_procurement_archetype_9.0</v>
      </c>
      <c r="B115" s="4">
        <f t="shared" si="13"/>
        <v>9</v>
      </c>
      <c r="C115" s="4">
        <f t="shared" si="21"/>
        <v>9</v>
      </c>
      <c r="D115" s="4">
        <f t="shared" si="21"/>
        <v>9</v>
      </c>
      <c r="E115" s="4">
        <f t="shared" si="21"/>
        <v>8.76821228611369</v>
      </c>
      <c r="F115" s="4">
        <f t="shared" si="21"/>
        <v>8.20785196964561</v>
      </c>
      <c r="G115" s="4">
        <f t="shared" si="21"/>
        <v>8.28619171160184</v>
      </c>
      <c r="H115" s="4">
        <f t="shared" si="21"/>
        <v>8.04296168226562</v>
      </c>
      <c r="I115" s="4">
        <f t="shared" si="21"/>
        <v>7.5724499909425</v>
      </c>
      <c r="J115" s="4">
        <f t="shared" si="21"/>
        <v>7.30814013506171</v>
      </c>
      <c r="K115" s="4">
        <f t="shared" si="21"/>
        <v>7.03682048020655</v>
      </c>
      <c r="L115" s="4">
        <f t="shared" si="21"/>
        <v>6.60823933176743</v>
      </c>
      <c r="M115" s="4">
        <f t="shared" si="21"/>
        <v>6.55622290326076</v>
      </c>
      <c r="N115" s="4">
        <f t="shared" si="21"/>
        <v>6.20505336696232</v>
      </c>
      <c r="O115" s="4">
        <f t="shared" si="21"/>
        <v>5.84091975948554</v>
      </c>
      <c r="P115" s="4">
        <f t="shared" si="21"/>
        <v>5.41043847197196</v>
      </c>
      <c r="Q115" s="4">
        <f t="shared" si="21"/>
        <v>4.71536795281442</v>
      </c>
      <c r="R115" s="4">
        <f t="shared" si="21"/>
        <v>3.77769575236307</v>
      </c>
      <c r="S115" s="4">
        <f t="shared" si="20"/>
        <v>3.47867024022009</v>
      </c>
      <c r="T115" s="4">
        <f t="shared" si="20"/>
        <v>2.82867295079024</v>
      </c>
      <c r="U115" s="4">
        <f t="shared" si="20"/>
        <v>2.17362589558023</v>
      </c>
      <c r="V115" s="4">
        <f t="shared" si="20"/>
        <v>2.04146853500907</v>
      </c>
      <c r="W115" s="4">
        <f t="shared" si="20"/>
        <v>1.64270573157513</v>
      </c>
      <c r="X115" s="4">
        <f t="shared" si="20"/>
        <v>1.44035613406226</v>
      </c>
      <c r="Y115" s="4">
        <f t="shared" si="20"/>
        <v>1.22987862000558</v>
      </c>
      <c r="Z115" s="4">
        <f t="shared" si="20"/>
        <v>1.19698922800197</v>
      </c>
      <c r="AA115" s="4">
        <f t="shared" si="20"/>
        <v>1.09635390631869</v>
      </c>
      <c r="AB115" s="4">
        <f t="shared" si="20"/>
        <v>0.949404959010347</v>
      </c>
      <c r="AC115" s="4">
        <f t="shared" si="20"/>
        <v>0.829049236291783</v>
      </c>
      <c r="AD115" s="4">
        <f t="shared" si="20"/>
        <v>0.80914337059909</v>
      </c>
      <c r="AE115" s="4">
        <f t="shared" si="20"/>
        <v>0.727964892887856</v>
      </c>
      <c r="AF115" s="4">
        <f t="shared" si="20"/>
        <v>0.673985157164047</v>
      </c>
      <c r="AG115" s="4">
        <f t="shared" si="20"/>
        <v>0.633504221166631</v>
      </c>
      <c r="AH115" s="4">
        <f t="shared" si="17"/>
        <v>0.481812736189785</v>
      </c>
      <c r="AI115" s="4">
        <f t="shared" si="17"/>
        <v>0.39621417376439</v>
      </c>
      <c r="AJ115" s="4">
        <f t="shared" si="17"/>
        <v>0.355401965334779</v>
      </c>
    </row>
    <row r="116" spans="1:36">
      <c r="A116" t="str">
        <f>"post-semis_procurement_archetype_"&amp;TEXT(ROUND(Table2691617[[#This Row],[2016]],3),"0.0")</f>
        <v>post-semis_procurement_archetype_8.9</v>
      </c>
      <c r="B116" s="4">
        <f t="shared" si="13"/>
        <v>8.9</v>
      </c>
      <c r="C116" s="4">
        <f t="shared" si="21"/>
        <v>8.9</v>
      </c>
      <c r="D116" s="4">
        <f t="shared" si="21"/>
        <v>8.9</v>
      </c>
      <c r="E116" s="4">
        <f t="shared" si="21"/>
        <v>8.67089358734895</v>
      </c>
      <c r="F116" s="4">
        <f t="shared" si="21"/>
        <v>8.11701547299392</v>
      </c>
      <c r="G116" s="4">
        <f t="shared" si="21"/>
        <v>8.19444898725</v>
      </c>
      <c r="H116" s="4">
        <f t="shared" si="21"/>
        <v>7.95403262291429</v>
      </c>
      <c r="I116" s="4">
        <f t="shared" si="21"/>
        <v>7.4889637721887</v>
      </c>
      <c r="J116" s="4">
        <f t="shared" si="21"/>
        <v>7.2277114310104</v>
      </c>
      <c r="K116" s="4">
        <f t="shared" si="21"/>
        <v>6.95953037963647</v>
      </c>
      <c r="L116" s="4">
        <f t="shared" si="21"/>
        <v>6.53590702271895</v>
      </c>
      <c r="M116" s="4">
        <f t="shared" si="21"/>
        <v>6.48449231598463</v>
      </c>
      <c r="N116" s="4">
        <f t="shared" si="21"/>
        <v>6.13738508003712</v>
      </c>
      <c r="O116" s="4">
        <f t="shared" si="21"/>
        <v>5.77746374022179</v>
      </c>
      <c r="P116" s="4">
        <f t="shared" si="21"/>
        <v>5.35196222488255</v>
      </c>
      <c r="Q116" s="4">
        <f t="shared" si="21"/>
        <v>4.66493222439771</v>
      </c>
      <c r="R116" s="4">
        <f t="shared" si="21"/>
        <v>3.73810693894103</v>
      </c>
      <c r="S116" s="4">
        <f t="shared" si="20"/>
        <v>3.44254052936065</v>
      </c>
      <c r="T116" s="4">
        <f t="shared" si="20"/>
        <v>2.80006235518432</v>
      </c>
      <c r="U116" s="4">
        <f t="shared" si="20"/>
        <v>2.15259283050358</v>
      </c>
      <c r="V116" s="4">
        <f t="shared" si="20"/>
        <v>2.02196425542414</v>
      </c>
      <c r="W116" s="4">
        <f t="shared" si="20"/>
        <v>1.62781430734606</v>
      </c>
      <c r="X116" s="4">
        <f t="shared" si="20"/>
        <v>1.42780547335627</v>
      </c>
      <c r="Y116" s="4">
        <f t="shared" si="20"/>
        <v>1.21976274589363</v>
      </c>
      <c r="Z116" s="4">
        <f t="shared" si="20"/>
        <v>1.18725381567519</v>
      </c>
      <c r="AA116" s="4">
        <f t="shared" si="20"/>
        <v>1.08778263512698</v>
      </c>
      <c r="AB116" s="4">
        <f t="shared" si="20"/>
        <v>0.942533581170757</v>
      </c>
      <c r="AC116" s="4">
        <f t="shared" si="20"/>
        <v>0.823570123566614</v>
      </c>
      <c r="AD116" s="4">
        <f t="shared" si="20"/>
        <v>0.803894527293192</v>
      </c>
      <c r="AE116" s="4">
        <f t="shared" si="20"/>
        <v>0.723655115544143</v>
      </c>
      <c r="AF116" s="4">
        <f t="shared" si="20"/>
        <v>0.670299812969306</v>
      </c>
      <c r="AG116" s="4">
        <f t="shared" si="20"/>
        <v>0.630287157114414</v>
      </c>
      <c r="AH116" s="4">
        <f t="shared" si="17"/>
        <v>0.480350426775881</v>
      </c>
      <c r="AI116" s="4">
        <f t="shared" si="17"/>
        <v>0.395742061489581</v>
      </c>
      <c r="AJ116" s="4">
        <f t="shared" si="17"/>
        <v>0.355401965334779</v>
      </c>
    </row>
    <row r="117" spans="1:36">
      <c r="A117" t="str">
        <f>"post-semis_procurement_archetype_"&amp;TEXT(ROUND(Table2691617[[#This Row],[2016]],3),"0.0")</f>
        <v>post-semis_procurement_archetype_8.8</v>
      </c>
      <c r="B117" s="4">
        <f t="shared" si="13"/>
        <v>8.8</v>
      </c>
      <c r="C117" s="4">
        <f t="shared" si="21"/>
        <v>8.8</v>
      </c>
      <c r="D117" s="4">
        <f t="shared" si="21"/>
        <v>8.8</v>
      </c>
      <c r="E117" s="4">
        <f t="shared" si="21"/>
        <v>8.5735748885842</v>
      </c>
      <c r="F117" s="4">
        <f t="shared" si="21"/>
        <v>8.02617897634223</v>
      </c>
      <c r="G117" s="4">
        <f t="shared" si="21"/>
        <v>8.10270626289817</v>
      </c>
      <c r="H117" s="4">
        <f t="shared" si="21"/>
        <v>7.86510356356297</v>
      </c>
      <c r="I117" s="4">
        <f t="shared" si="21"/>
        <v>7.4054775534349</v>
      </c>
      <c r="J117" s="4">
        <f t="shared" si="21"/>
        <v>7.14728272695908</v>
      </c>
      <c r="K117" s="4">
        <f t="shared" si="21"/>
        <v>6.88224027906639</v>
      </c>
      <c r="L117" s="4">
        <f t="shared" si="21"/>
        <v>6.46357471367048</v>
      </c>
      <c r="M117" s="4">
        <f t="shared" si="21"/>
        <v>6.41276172870851</v>
      </c>
      <c r="N117" s="4">
        <f t="shared" si="21"/>
        <v>6.06971679311192</v>
      </c>
      <c r="O117" s="4">
        <f t="shared" si="21"/>
        <v>5.71400772095804</v>
      </c>
      <c r="P117" s="4">
        <f t="shared" si="21"/>
        <v>5.29348597779314</v>
      </c>
      <c r="Q117" s="4">
        <f t="shared" si="21"/>
        <v>4.61449649598101</v>
      </c>
      <c r="R117" s="4">
        <f t="shared" si="21"/>
        <v>3.698518125519</v>
      </c>
      <c r="S117" s="4">
        <f t="shared" si="20"/>
        <v>3.40641081850121</v>
      </c>
      <c r="T117" s="4">
        <f t="shared" si="20"/>
        <v>2.7714517595784</v>
      </c>
      <c r="U117" s="4">
        <f t="shared" si="20"/>
        <v>2.13155976542694</v>
      </c>
      <c r="V117" s="4">
        <f t="shared" si="20"/>
        <v>2.00245997583921</v>
      </c>
      <c r="W117" s="4">
        <f t="shared" si="20"/>
        <v>1.61292288311698</v>
      </c>
      <c r="X117" s="4">
        <f t="shared" si="20"/>
        <v>1.41525481265028</v>
      </c>
      <c r="Y117" s="4">
        <f t="shared" si="20"/>
        <v>1.20964687178168</v>
      </c>
      <c r="Z117" s="4">
        <f t="shared" si="20"/>
        <v>1.17751840334841</v>
      </c>
      <c r="AA117" s="4">
        <f t="shared" si="20"/>
        <v>1.07921136393528</v>
      </c>
      <c r="AB117" s="4">
        <f t="shared" si="20"/>
        <v>0.935662203331168</v>
      </c>
      <c r="AC117" s="4">
        <f t="shared" si="20"/>
        <v>0.818091010841446</v>
      </c>
      <c r="AD117" s="4">
        <f t="shared" si="20"/>
        <v>0.798645683987294</v>
      </c>
      <c r="AE117" s="4">
        <f t="shared" si="20"/>
        <v>0.71934533820043</v>
      </c>
      <c r="AF117" s="4">
        <f t="shared" si="20"/>
        <v>0.666614468774564</v>
      </c>
      <c r="AG117" s="4">
        <f t="shared" si="20"/>
        <v>0.627070093062197</v>
      </c>
      <c r="AH117" s="4">
        <f t="shared" si="17"/>
        <v>0.478888117361978</v>
      </c>
      <c r="AI117" s="4">
        <f t="shared" si="17"/>
        <v>0.395269949214771</v>
      </c>
      <c r="AJ117" s="4">
        <f t="shared" si="17"/>
        <v>0.355401965334779</v>
      </c>
    </row>
    <row r="118" spans="1:36">
      <c r="A118" t="str">
        <f>"post-semis_procurement_archetype_"&amp;TEXT(ROUND(Table2691617[[#This Row],[2016]],3),"0.0")</f>
        <v>post-semis_procurement_archetype_8.7</v>
      </c>
      <c r="B118" s="4">
        <f t="shared" si="13"/>
        <v>8.7</v>
      </c>
      <c r="C118" s="4">
        <f t="shared" si="21"/>
        <v>8.7</v>
      </c>
      <c r="D118" s="4">
        <f t="shared" si="21"/>
        <v>8.7</v>
      </c>
      <c r="E118" s="4">
        <f t="shared" si="21"/>
        <v>8.47625618981946</v>
      </c>
      <c r="F118" s="4">
        <f t="shared" si="21"/>
        <v>7.93534247969054</v>
      </c>
      <c r="G118" s="4">
        <f t="shared" si="21"/>
        <v>8.01096353854633</v>
      </c>
      <c r="H118" s="4">
        <f t="shared" si="21"/>
        <v>7.77617450421165</v>
      </c>
      <c r="I118" s="4">
        <f t="shared" si="21"/>
        <v>7.32199133468109</v>
      </c>
      <c r="J118" s="4">
        <f t="shared" si="21"/>
        <v>7.06685402290776</v>
      </c>
      <c r="K118" s="4">
        <f t="shared" si="21"/>
        <v>6.80495017849631</v>
      </c>
      <c r="L118" s="4">
        <f t="shared" si="21"/>
        <v>6.391242404622</v>
      </c>
      <c r="M118" s="4">
        <f t="shared" si="21"/>
        <v>6.34103114143238</v>
      </c>
      <c r="N118" s="4">
        <f t="shared" si="21"/>
        <v>6.00204850618672</v>
      </c>
      <c r="O118" s="4">
        <f t="shared" si="21"/>
        <v>5.6505517016943</v>
      </c>
      <c r="P118" s="4">
        <f t="shared" si="21"/>
        <v>5.23500973070373</v>
      </c>
      <c r="Q118" s="4">
        <f t="shared" si="21"/>
        <v>4.5640607675643</v>
      </c>
      <c r="R118" s="4">
        <f t="shared" si="21"/>
        <v>3.65892931209697</v>
      </c>
      <c r="S118" s="4">
        <f t="shared" si="20"/>
        <v>3.37028110764177</v>
      </c>
      <c r="T118" s="4">
        <f t="shared" si="20"/>
        <v>2.74284116397248</v>
      </c>
      <c r="U118" s="4">
        <f t="shared" si="20"/>
        <v>2.11052670035029</v>
      </c>
      <c r="V118" s="4">
        <f t="shared" si="20"/>
        <v>1.98295569625428</v>
      </c>
      <c r="W118" s="4">
        <f t="shared" si="20"/>
        <v>1.5980314588879</v>
      </c>
      <c r="X118" s="4">
        <f t="shared" si="20"/>
        <v>1.40270415194429</v>
      </c>
      <c r="Y118" s="4">
        <f t="shared" si="20"/>
        <v>1.19953099766973</v>
      </c>
      <c r="Z118" s="4">
        <f t="shared" si="20"/>
        <v>1.16778299102164</v>
      </c>
      <c r="AA118" s="4">
        <f t="shared" si="20"/>
        <v>1.07064009274357</v>
      </c>
      <c r="AB118" s="4">
        <f t="shared" si="20"/>
        <v>0.928790825491578</v>
      </c>
      <c r="AC118" s="4">
        <f t="shared" si="20"/>
        <v>0.812611898116277</v>
      </c>
      <c r="AD118" s="4">
        <f t="shared" si="20"/>
        <v>0.793396840681396</v>
      </c>
      <c r="AE118" s="4">
        <f t="shared" si="20"/>
        <v>0.715035560856717</v>
      </c>
      <c r="AF118" s="4">
        <f t="shared" si="20"/>
        <v>0.662929124579823</v>
      </c>
      <c r="AG118" s="4">
        <f t="shared" si="20"/>
        <v>0.623853029009981</v>
      </c>
      <c r="AH118" s="4">
        <f t="shared" si="17"/>
        <v>0.477425807948075</v>
      </c>
      <c r="AI118" s="4">
        <f t="shared" si="17"/>
        <v>0.394797836939961</v>
      </c>
      <c r="AJ118" s="4">
        <f t="shared" si="17"/>
        <v>0.355401965334779</v>
      </c>
    </row>
    <row r="119" spans="1:36">
      <c r="A119" t="str">
        <f>"post-semis_procurement_archetype_"&amp;TEXT(ROUND(Table2691617[[#This Row],[2016]],3),"0.0")</f>
        <v>post-semis_procurement_archetype_8.6</v>
      </c>
      <c r="B119" s="4">
        <f t="shared" si="13"/>
        <v>8.6</v>
      </c>
      <c r="C119" s="4">
        <f t="shared" si="21"/>
        <v>8.6</v>
      </c>
      <c r="D119" s="4">
        <f t="shared" si="21"/>
        <v>8.6</v>
      </c>
      <c r="E119" s="4">
        <f t="shared" si="21"/>
        <v>8.37893749105471</v>
      </c>
      <c r="F119" s="4">
        <f t="shared" si="21"/>
        <v>7.84450598303885</v>
      </c>
      <c r="G119" s="4">
        <f t="shared" si="21"/>
        <v>7.9192208141945</v>
      </c>
      <c r="H119" s="4">
        <f t="shared" si="21"/>
        <v>7.68724544486032</v>
      </c>
      <c r="I119" s="4">
        <f t="shared" si="21"/>
        <v>7.23850511592729</v>
      </c>
      <c r="J119" s="4">
        <f t="shared" si="21"/>
        <v>6.98642531885644</v>
      </c>
      <c r="K119" s="4">
        <f t="shared" si="21"/>
        <v>6.72766007792623</v>
      </c>
      <c r="L119" s="4">
        <f t="shared" si="21"/>
        <v>6.31891009557352</v>
      </c>
      <c r="M119" s="4">
        <f t="shared" si="21"/>
        <v>6.26930055415625</v>
      </c>
      <c r="N119" s="4">
        <f t="shared" si="21"/>
        <v>5.93438021926151</v>
      </c>
      <c r="O119" s="4">
        <f t="shared" si="21"/>
        <v>5.58709568243055</v>
      </c>
      <c r="P119" s="4">
        <f t="shared" si="21"/>
        <v>5.17653348361431</v>
      </c>
      <c r="Q119" s="4">
        <f t="shared" si="21"/>
        <v>4.51362503914759</v>
      </c>
      <c r="R119" s="4">
        <f t="shared" si="21"/>
        <v>3.61934049867494</v>
      </c>
      <c r="S119" s="4">
        <f t="shared" si="20"/>
        <v>3.33415139678233</v>
      </c>
      <c r="T119" s="4">
        <f t="shared" si="20"/>
        <v>2.71423056836656</v>
      </c>
      <c r="U119" s="4">
        <f t="shared" si="20"/>
        <v>2.08949363527365</v>
      </c>
      <c r="V119" s="4">
        <f t="shared" si="20"/>
        <v>1.96345141666936</v>
      </c>
      <c r="W119" s="4">
        <f t="shared" si="20"/>
        <v>1.58314003465883</v>
      </c>
      <c r="X119" s="4">
        <f t="shared" si="20"/>
        <v>1.3901534912383</v>
      </c>
      <c r="Y119" s="4">
        <f t="shared" si="20"/>
        <v>1.18941512355778</v>
      </c>
      <c r="Z119" s="4">
        <f t="shared" si="20"/>
        <v>1.15804757869486</v>
      </c>
      <c r="AA119" s="4">
        <f t="shared" si="20"/>
        <v>1.06206882155187</v>
      </c>
      <c r="AB119" s="4">
        <f t="shared" si="20"/>
        <v>0.921919447651989</v>
      </c>
      <c r="AC119" s="4">
        <f t="shared" si="20"/>
        <v>0.807132785391109</v>
      </c>
      <c r="AD119" s="4">
        <f t="shared" si="20"/>
        <v>0.788147997375498</v>
      </c>
      <c r="AE119" s="4">
        <f t="shared" si="20"/>
        <v>0.710725783513003</v>
      </c>
      <c r="AF119" s="4">
        <f t="shared" si="20"/>
        <v>0.659243780385081</v>
      </c>
      <c r="AG119" s="4">
        <f t="shared" si="20"/>
        <v>0.620635964957764</v>
      </c>
      <c r="AH119" s="4">
        <f t="shared" si="17"/>
        <v>0.475963498534172</v>
      </c>
      <c r="AI119" s="4">
        <f t="shared" si="17"/>
        <v>0.394325724665151</v>
      </c>
      <c r="AJ119" s="4">
        <f t="shared" si="17"/>
        <v>0.355401965334779</v>
      </c>
    </row>
    <row r="120" spans="1:36">
      <c r="A120" t="str">
        <f>"post-semis_procurement_archetype_"&amp;TEXT(ROUND(Table2691617[[#This Row],[2016]],3),"0.0")</f>
        <v>post-semis_procurement_archetype_8.5</v>
      </c>
      <c r="B120" s="4">
        <f t="shared" si="13"/>
        <v>8.5</v>
      </c>
      <c r="C120" s="4">
        <f t="shared" si="21"/>
        <v>8.5</v>
      </c>
      <c r="D120" s="4">
        <f t="shared" si="21"/>
        <v>8.5</v>
      </c>
      <c r="E120" s="4">
        <f t="shared" si="21"/>
        <v>8.28161879228997</v>
      </c>
      <c r="F120" s="4">
        <f t="shared" si="21"/>
        <v>7.75366948638715</v>
      </c>
      <c r="G120" s="4">
        <f t="shared" si="21"/>
        <v>7.82747808984267</v>
      </c>
      <c r="H120" s="4">
        <f t="shared" si="21"/>
        <v>7.598316385509</v>
      </c>
      <c r="I120" s="4">
        <f t="shared" si="21"/>
        <v>7.15501889717348</v>
      </c>
      <c r="J120" s="4">
        <f t="shared" si="21"/>
        <v>6.90599661480512</v>
      </c>
      <c r="K120" s="4">
        <f t="shared" si="21"/>
        <v>6.65036997735615</v>
      </c>
      <c r="L120" s="4">
        <f t="shared" si="21"/>
        <v>6.24657778652504</v>
      </c>
      <c r="M120" s="4">
        <f t="shared" si="21"/>
        <v>6.19756996688012</v>
      </c>
      <c r="N120" s="4">
        <f t="shared" si="21"/>
        <v>5.86671193233631</v>
      </c>
      <c r="O120" s="4">
        <f t="shared" si="21"/>
        <v>5.5236396631668</v>
      </c>
      <c r="P120" s="4">
        <f t="shared" si="21"/>
        <v>5.1180572365249</v>
      </c>
      <c r="Q120" s="4">
        <f t="shared" si="21"/>
        <v>4.46318931073089</v>
      </c>
      <c r="R120" s="4">
        <f t="shared" si="21"/>
        <v>3.5797516852529</v>
      </c>
      <c r="S120" s="4">
        <f t="shared" si="20"/>
        <v>3.29802168592289</v>
      </c>
      <c r="T120" s="4">
        <f t="shared" si="20"/>
        <v>2.68561997276064</v>
      </c>
      <c r="U120" s="4">
        <f t="shared" si="20"/>
        <v>2.068460570197</v>
      </c>
      <c r="V120" s="4">
        <f t="shared" si="20"/>
        <v>1.94394713708443</v>
      </c>
      <c r="W120" s="4">
        <f t="shared" si="20"/>
        <v>1.56824861042975</v>
      </c>
      <c r="X120" s="4">
        <f t="shared" si="20"/>
        <v>1.37760283053231</v>
      </c>
      <c r="Y120" s="4">
        <f t="shared" si="20"/>
        <v>1.17929924944583</v>
      </c>
      <c r="Z120" s="4">
        <f t="shared" si="20"/>
        <v>1.14831216636808</v>
      </c>
      <c r="AA120" s="4">
        <f t="shared" si="20"/>
        <v>1.05349755036016</v>
      </c>
      <c r="AB120" s="4">
        <f t="shared" si="20"/>
        <v>0.9150480698124</v>
      </c>
      <c r="AC120" s="4">
        <f t="shared" si="20"/>
        <v>0.80165367266594</v>
      </c>
      <c r="AD120" s="4">
        <f t="shared" si="20"/>
        <v>0.7828991540696</v>
      </c>
      <c r="AE120" s="4">
        <f t="shared" si="20"/>
        <v>0.70641600616929</v>
      </c>
      <c r="AF120" s="4">
        <f t="shared" si="20"/>
        <v>0.65555843619034</v>
      </c>
      <c r="AG120" s="4">
        <f t="shared" si="20"/>
        <v>0.617418900905547</v>
      </c>
      <c r="AH120" s="4">
        <f t="shared" si="17"/>
        <v>0.474501189120268</v>
      </c>
      <c r="AI120" s="4">
        <f t="shared" si="17"/>
        <v>0.393853612390342</v>
      </c>
      <c r="AJ120" s="4">
        <f t="shared" si="17"/>
        <v>0.355401965334779</v>
      </c>
    </row>
    <row r="121" spans="1:36">
      <c r="A121" t="str">
        <f>"post-semis_procurement_archetype_"&amp;TEXT(ROUND(Table2691617[[#This Row],[2016]],3),"0.0")</f>
        <v>post-semis_procurement_archetype_8.4</v>
      </c>
      <c r="B121" s="4">
        <f t="shared" si="13"/>
        <v>8.4</v>
      </c>
      <c r="C121" s="4">
        <f t="shared" si="21"/>
        <v>8.4</v>
      </c>
      <c r="D121" s="4">
        <f t="shared" si="21"/>
        <v>8.4</v>
      </c>
      <c r="E121" s="4">
        <f t="shared" si="21"/>
        <v>8.18430009352522</v>
      </c>
      <c r="F121" s="4">
        <f t="shared" si="21"/>
        <v>7.66283298973546</v>
      </c>
      <c r="G121" s="4">
        <f t="shared" si="21"/>
        <v>7.73573536549083</v>
      </c>
      <c r="H121" s="4">
        <f t="shared" si="21"/>
        <v>7.50938732615767</v>
      </c>
      <c r="I121" s="4">
        <f t="shared" si="21"/>
        <v>7.07153267841968</v>
      </c>
      <c r="J121" s="4">
        <f t="shared" si="21"/>
        <v>6.82556791075381</v>
      </c>
      <c r="K121" s="4">
        <f t="shared" si="21"/>
        <v>6.57307987678608</v>
      </c>
      <c r="L121" s="4">
        <f t="shared" si="21"/>
        <v>6.17424547747657</v>
      </c>
      <c r="M121" s="4">
        <f t="shared" si="21"/>
        <v>6.12583937960399</v>
      </c>
      <c r="N121" s="4">
        <f t="shared" si="21"/>
        <v>5.79904364541111</v>
      </c>
      <c r="O121" s="4">
        <f t="shared" si="21"/>
        <v>5.46018364390305</v>
      </c>
      <c r="P121" s="4">
        <f t="shared" si="21"/>
        <v>5.05958098943549</v>
      </c>
      <c r="Q121" s="4">
        <f t="shared" si="21"/>
        <v>4.41275358231418</v>
      </c>
      <c r="R121" s="4">
        <f t="shared" si="21"/>
        <v>3.54016287183087</v>
      </c>
      <c r="S121" s="4">
        <f t="shared" si="20"/>
        <v>3.26189197506345</v>
      </c>
      <c r="T121" s="4">
        <f t="shared" si="20"/>
        <v>2.65700937715472</v>
      </c>
      <c r="U121" s="4">
        <f t="shared" si="20"/>
        <v>2.04742750512036</v>
      </c>
      <c r="V121" s="4">
        <f t="shared" si="20"/>
        <v>1.9244428574995</v>
      </c>
      <c r="W121" s="4">
        <f t="shared" si="20"/>
        <v>1.55335718620068</v>
      </c>
      <c r="X121" s="4">
        <f t="shared" si="20"/>
        <v>1.36505216982632</v>
      </c>
      <c r="Y121" s="4">
        <f t="shared" si="20"/>
        <v>1.16918337533388</v>
      </c>
      <c r="Z121" s="4">
        <f t="shared" si="20"/>
        <v>1.1385767540413</v>
      </c>
      <c r="AA121" s="4">
        <f t="shared" si="20"/>
        <v>1.04492627916846</v>
      </c>
      <c r="AB121" s="4">
        <f t="shared" si="20"/>
        <v>0.90817669197281</v>
      </c>
      <c r="AC121" s="4">
        <f t="shared" si="20"/>
        <v>0.796174559940772</v>
      </c>
      <c r="AD121" s="4">
        <f t="shared" si="20"/>
        <v>0.777650310763702</v>
      </c>
      <c r="AE121" s="4">
        <f t="shared" si="20"/>
        <v>0.702106228825577</v>
      </c>
      <c r="AF121" s="4">
        <f t="shared" si="20"/>
        <v>0.651873091995599</v>
      </c>
      <c r="AG121" s="4">
        <f t="shared" si="20"/>
        <v>0.61420183685333</v>
      </c>
      <c r="AH121" s="4">
        <f t="shared" si="17"/>
        <v>0.473038879706365</v>
      </c>
      <c r="AI121" s="4">
        <f t="shared" si="17"/>
        <v>0.393381500115532</v>
      </c>
      <c r="AJ121" s="4">
        <f t="shared" si="17"/>
        <v>0.355401965334779</v>
      </c>
    </row>
    <row r="122" spans="1:36">
      <c r="A122" t="str">
        <f>"post-semis_procurement_archetype_"&amp;TEXT(ROUND(Table2691617[[#This Row],[2016]],3),"0.0")</f>
        <v>post-semis_procurement_archetype_8.3</v>
      </c>
      <c r="B122" s="4">
        <f t="shared" si="13"/>
        <v>8.3</v>
      </c>
      <c r="C122" s="4">
        <f t="shared" si="21"/>
        <v>8.3</v>
      </c>
      <c r="D122" s="4">
        <f t="shared" si="21"/>
        <v>8.3</v>
      </c>
      <c r="E122" s="4">
        <f t="shared" si="21"/>
        <v>8.08698139476048</v>
      </c>
      <c r="F122" s="4">
        <f t="shared" si="21"/>
        <v>7.57199649308377</v>
      </c>
      <c r="G122" s="4">
        <f t="shared" si="21"/>
        <v>7.64399264113899</v>
      </c>
      <c r="H122" s="4">
        <f t="shared" si="21"/>
        <v>7.42045826680635</v>
      </c>
      <c r="I122" s="4">
        <f t="shared" si="21"/>
        <v>6.98804645966587</v>
      </c>
      <c r="J122" s="4">
        <f t="shared" si="21"/>
        <v>6.74513920670249</v>
      </c>
      <c r="K122" s="4">
        <f t="shared" si="21"/>
        <v>6.495789776216</v>
      </c>
      <c r="L122" s="4">
        <f t="shared" si="21"/>
        <v>6.10191316842809</v>
      </c>
      <c r="M122" s="4">
        <f t="shared" si="21"/>
        <v>6.05410879232786</v>
      </c>
      <c r="N122" s="4">
        <f t="shared" si="21"/>
        <v>5.73137535848591</v>
      </c>
      <c r="O122" s="4">
        <f t="shared" si="21"/>
        <v>5.3967276246393</v>
      </c>
      <c r="P122" s="4">
        <f t="shared" si="21"/>
        <v>5.00110474234608</v>
      </c>
      <c r="Q122" s="4">
        <f t="shared" si="21"/>
        <v>4.36231785389748</v>
      </c>
      <c r="R122" s="4">
        <f t="shared" si="21"/>
        <v>3.50057405840884</v>
      </c>
      <c r="S122" s="4">
        <f t="shared" si="20"/>
        <v>3.22576226420401</v>
      </c>
      <c r="T122" s="4">
        <f t="shared" si="20"/>
        <v>2.6283987815488</v>
      </c>
      <c r="U122" s="4">
        <f t="shared" si="20"/>
        <v>2.02639444004372</v>
      </c>
      <c r="V122" s="4">
        <f t="shared" si="20"/>
        <v>1.90493857791457</v>
      </c>
      <c r="W122" s="4">
        <f t="shared" si="20"/>
        <v>1.5384657619716</v>
      </c>
      <c r="X122" s="4">
        <f t="shared" si="20"/>
        <v>1.35250150912033</v>
      </c>
      <c r="Y122" s="4">
        <f t="shared" si="20"/>
        <v>1.15906750122193</v>
      </c>
      <c r="Z122" s="4">
        <f t="shared" si="20"/>
        <v>1.12884134171452</v>
      </c>
      <c r="AA122" s="4">
        <f t="shared" si="20"/>
        <v>1.03635500797676</v>
      </c>
      <c r="AB122" s="4">
        <f t="shared" si="20"/>
        <v>0.901305314133221</v>
      </c>
      <c r="AC122" s="4">
        <f t="shared" si="20"/>
        <v>0.790695447215603</v>
      </c>
      <c r="AD122" s="4">
        <f t="shared" si="20"/>
        <v>0.772401467457804</v>
      </c>
      <c r="AE122" s="4">
        <f t="shared" si="20"/>
        <v>0.697796451481864</v>
      </c>
      <c r="AF122" s="4">
        <f t="shared" si="20"/>
        <v>0.648187747800857</v>
      </c>
      <c r="AG122" s="4">
        <f t="shared" si="20"/>
        <v>0.610984772801114</v>
      </c>
      <c r="AH122" s="4">
        <f t="shared" si="17"/>
        <v>0.471576570292462</v>
      </c>
      <c r="AI122" s="4">
        <f t="shared" si="17"/>
        <v>0.392909387840722</v>
      </c>
      <c r="AJ122" s="4">
        <f t="shared" si="17"/>
        <v>0.355401965334779</v>
      </c>
    </row>
    <row r="123" spans="1:36">
      <c r="A123" t="str">
        <f>"post-semis_procurement_archetype_"&amp;TEXT(ROUND(Table2691617[[#This Row],[2016]],3),"0.0")</f>
        <v>post-semis_procurement_archetype_8.2</v>
      </c>
      <c r="B123" s="4">
        <f t="shared" si="13"/>
        <v>8.2</v>
      </c>
      <c r="C123" s="4">
        <f t="shared" si="21"/>
        <v>8.2</v>
      </c>
      <c r="D123" s="4">
        <f t="shared" si="21"/>
        <v>8.2</v>
      </c>
      <c r="E123" s="4">
        <f t="shared" si="21"/>
        <v>7.98966269599573</v>
      </c>
      <c r="F123" s="4">
        <f t="shared" si="21"/>
        <v>7.48115999643208</v>
      </c>
      <c r="G123" s="4">
        <f t="shared" si="21"/>
        <v>7.55224991678716</v>
      </c>
      <c r="H123" s="4">
        <f t="shared" si="21"/>
        <v>7.33152920745502</v>
      </c>
      <c r="I123" s="4">
        <f t="shared" si="21"/>
        <v>6.90456024091207</v>
      </c>
      <c r="J123" s="4">
        <f t="shared" si="21"/>
        <v>6.66471050265117</v>
      </c>
      <c r="K123" s="4">
        <f t="shared" si="21"/>
        <v>6.41849967564592</v>
      </c>
      <c r="L123" s="4">
        <f t="shared" si="21"/>
        <v>6.02958085937961</v>
      </c>
      <c r="M123" s="4">
        <f t="shared" si="21"/>
        <v>5.98237820505174</v>
      </c>
      <c r="N123" s="4">
        <f t="shared" si="21"/>
        <v>5.66370707156071</v>
      </c>
      <c r="O123" s="4">
        <f t="shared" si="21"/>
        <v>5.33327160537556</v>
      </c>
      <c r="P123" s="4">
        <f t="shared" si="21"/>
        <v>4.94262849525667</v>
      </c>
      <c r="Q123" s="4">
        <f t="shared" si="21"/>
        <v>4.31188212548077</v>
      </c>
      <c r="R123" s="4">
        <f t="shared" si="21"/>
        <v>3.46098524498681</v>
      </c>
      <c r="S123" s="4">
        <f t="shared" si="20"/>
        <v>3.18963255334458</v>
      </c>
      <c r="T123" s="4">
        <f t="shared" si="20"/>
        <v>2.59978818594287</v>
      </c>
      <c r="U123" s="4">
        <f t="shared" si="20"/>
        <v>2.00536137496707</v>
      </c>
      <c r="V123" s="4">
        <f t="shared" si="20"/>
        <v>1.88543429832965</v>
      </c>
      <c r="W123" s="4">
        <f t="shared" si="20"/>
        <v>1.52357433774253</v>
      </c>
      <c r="X123" s="4">
        <f t="shared" si="20"/>
        <v>1.33995084841434</v>
      </c>
      <c r="Y123" s="4">
        <f t="shared" si="20"/>
        <v>1.14895162710998</v>
      </c>
      <c r="Z123" s="4">
        <f t="shared" si="20"/>
        <v>1.11910592938775</v>
      </c>
      <c r="AA123" s="4">
        <f t="shared" si="20"/>
        <v>1.02778373678505</v>
      </c>
      <c r="AB123" s="4">
        <f t="shared" si="20"/>
        <v>0.894433936293631</v>
      </c>
      <c r="AC123" s="4">
        <f t="shared" si="20"/>
        <v>0.785216334490435</v>
      </c>
      <c r="AD123" s="4">
        <f t="shared" si="20"/>
        <v>0.767152624151906</v>
      </c>
      <c r="AE123" s="4">
        <f t="shared" si="20"/>
        <v>0.693486674138151</v>
      </c>
      <c r="AF123" s="4">
        <f t="shared" si="20"/>
        <v>0.644502403606116</v>
      </c>
      <c r="AG123" s="4">
        <f t="shared" si="20"/>
        <v>0.607767708748897</v>
      </c>
      <c r="AH123" s="4">
        <f t="shared" si="17"/>
        <v>0.470114260878559</v>
      </c>
      <c r="AI123" s="4">
        <f t="shared" si="17"/>
        <v>0.392437275565913</v>
      </c>
      <c r="AJ123" s="4">
        <f t="shared" si="17"/>
        <v>0.355401965334779</v>
      </c>
    </row>
    <row r="124" spans="1:36">
      <c r="A124" t="str">
        <f>"post-semis_procurement_archetype_"&amp;TEXT(ROUND(Table2691617[[#This Row],[2016]],3),"0.0")</f>
        <v>post-semis_procurement_archetype_8.1</v>
      </c>
      <c r="B124" s="4">
        <f t="shared" si="13"/>
        <v>8.1</v>
      </c>
      <c r="C124" s="4">
        <f t="shared" si="21"/>
        <v>8.1</v>
      </c>
      <c r="D124" s="4">
        <f t="shared" si="21"/>
        <v>8.1</v>
      </c>
      <c r="E124" s="4">
        <f t="shared" si="21"/>
        <v>7.89234399723099</v>
      </c>
      <c r="F124" s="4">
        <f t="shared" si="21"/>
        <v>7.39032349978039</v>
      </c>
      <c r="G124" s="4">
        <f t="shared" si="21"/>
        <v>7.46050719243532</v>
      </c>
      <c r="H124" s="4">
        <f t="shared" si="21"/>
        <v>7.2426001481037</v>
      </c>
      <c r="I124" s="4">
        <f t="shared" si="21"/>
        <v>6.82107402215826</v>
      </c>
      <c r="J124" s="4">
        <f t="shared" si="21"/>
        <v>6.58428179859985</v>
      </c>
      <c r="K124" s="4">
        <f t="shared" si="21"/>
        <v>6.34120957507584</v>
      </c>
      <c r="L124" s="4">
        <f t="shared" si="21"/>
        <v>5.95724855033113</v>
      </c>
      <c r="M124" s="4">
        <f t="shared" si="21"/>
        <v>5.91064761777561</v>
      </c>
      <c r="N124" s="4">
        <f t="shared" si="21"/>
        <v>5.59603878463551</v>
      </c>
      <c r="O124" s="4">
        <f t="shared" si="21"/>
        <v>5.26981558611181</v>
      </c>
      <c r="P124" s="4">
        <f t="shared" si="21"/>
        <v>4.88415224816726</v>
      </c>
      <c r="Q124" s="4">
        <f t="shared" si="21"/>
        <v>4.26144639706406</v>
      </c>
      <c r="R124" s="4">
        <f t="shared" ref="R124:AG139" si="22">(($B124-$AJ$2)*((R$2-$AJ$2)/($B$2-$AJ$2)))+$AJ$2</f>
        <v>3.42139643156477</v>
      </c>
      <c r="S124" s="4">
        <f t="shared" si="22"/>
        <v>3.15350284248514</v>
      </c>
      <c r="T124" s="4">
        <f t="shared" si="22"/>
        <v>2.57117759033695</v>
      </c>
      <c r="U124" s="4">
        <f t="shared" si="22"/>
        <v>1.98432830989043</v>
      </c>
      <c r="V124" s="4">
        <f t="shared" si="22"/>
        <v>1.86593001874472</v>
      </c>
      <c r="W124" s="4">
        <f t="shared" si="22"/>
        <v>1.50868291351345</v>
      </c>
      <c r="X124" s="4">
        <f t="shared" si="22"/>
        <v>1.32740018770835</v>
      </c>
      <c r="Y124" s="4">
        <f t="shared" si="22"/>
        <v>1.13883575299803</v>
      </c>
      <c r="Z124" s="4">
        <f t="shared" si="22"/>
        <v>1.10937051706097</v>
      </c>
      <c r="AA124" s="4">
        <f t="shared" si="22"/>
        <v>1.01921246559335</v>
      </c>
      <c r="AB124" s="4">
        <f t="shared" si="22"/>
        <v>0.887562558454042</v>
      </c>
      <c r="AC124" s="4">
        <f t="shared" si="22"/>
        <v>0.779737221765266</v>
      </c>
      <c r="AD124" s="4">
        <f t="shared" si="22"/>
        <v>0.761903780846008</v>
      </c>
      <c r="AE124" s="4">
        <f t="shared" si="22"/>
        <v>0.689176896794437</v>
      </c>
      <c r="AF124" s="4">
        <f t="shared" si="22"/>
        <v>0.640817059411374</v>
      </c>
      <c r="AG124" s="4">
        <f t="shared" si="22"/>
        <v>0.60455064469668</v>
      </c>
      <c r="AH124" s="4">
        <f t="shared" si="17"/>
        <v>0.468651951464655</v>
      </c>
      <c r="AI124" s="4">
        <f t="shared" si="17"/>
        <v>0.391965163291103</v>
      </c>
      <c r="AJ124" s="4">
        <f t="shared" si="17"/>
        <v>0.355401965334779</v>
      </c>
    </row>
    <row r="125" spans="1:36">
      <c r="A125" t="str">
        <f>"post-semis_procurement_archetype_"&amp;TEXT(ROUND(Table2691617[[#This Row],[2016]],3),"0.0")</f>
        <v>post-semis_procurement_archetype_8.0</v>
      </c>
      <c r="B125" s="4">
        <f t="shared" si="13"/>
        <v>8</v>
      </c>
      <c r="C125" s="4">
        <f t="shared" ref="C125:R140" si="23">(($B125-$AJ$2)*((C$2-$AJ$2)/($B$2-$AJ$2)))+$AJ$2</f>
        <v>8</v>
      </c>
      <c r="D125" s="4">
        <f t="shared" si="23"/>
        <v>8</v>
      </c>
      <c r="E125" s="4">
        <f t="shared" si="23"/>
        <v>7.79502529846624</v>
      </c>
      <c r="F125" s="4">
        <f t="shared" si="23"/>
        <v>7.2994870031287</v>
      </c>
      <c r="G125" s="4">
        <f t="shared" si="23"/>
        <v>7.36876446808349</v>
      </c>
      <c r="H125" s="4">
        <f t="shared" si="23"/>
        <v>7.15367108875237</v>
      </c>
      <c r="I125" s="4">
        <f t="shared" si="23"/>
        <v>6.73758780340446</v>
      </c>
      <c r="J125" s="4">
        <f t="shared" si="23"/>
        <v>6.50385309454853</v>
      </c>
      <c r="K125" s="4">
        <f t="shared" si="23"/>
        <v>6.26391947450576</v>
      </c>
      <c r="L125" s="4">
        <f t="shared" si="23"/>
        <v>5.88491624128266</v>
      </c>
      <c r="M125" s="4">
        <f t="shared" si="23"/>
        <v>5.83891703049948</v>
      </c>
      <c r="N125" s="4">
        <f t="shared" si="23"/>
        <v>5.52837049771031</v>
      </c>
      <c r="O125" s="4">
        <f t="shared" si="23"/>
        <v>5.20635956684806</v>
      </c>
      <c r="P125" s="4">
        <f t="shared" si="23"/>
        <v>4.82567600107785</v>
      </c>
      <c r="Q125" s="4">
        <f t="shared" si="23"/>
        <v>4.21101066864736</v>
      </c>
      <c r="R125" s="4">
        <f t="shared" si="23"/>
        <v>3.38180761814274</v>
      </c>
      <c r="S125" s="4">
        <f t="shared" si="22"/>
        <v>3.1173731316257</v>
      </c>
      <c r="T125" s="4">
        <f t="shared" si="22"/>
        <v>2.54256699473103</v>
      </c>
      <c r="U125" s="4">
        <f t="shared" si="22"/>
        <v>1.96329524481378</v>
      </c>
      <c r="V125" s="4">
        <f t="shared" si="22"/>
        <v>1.84642573915979</v>
      </c>
      <c r="W125" s="4">
        <f t="shared" si="22"/>
        <v>1.49379148928437</v>
      </c>
      <c r="X125" s="4">
        <f t="shared" si="22"/>
        <v>1.31484952700236</v>
      </c>
      <c r="Y125" s="4">
        <f t="shared" si="22"/>
        <v>1.12871987888608</v>
      </c>
      <c r="Z125" s="4">
        <f t="shared" si="22"/>
        <v>1.09963510473419</v>
      </c>
      <c r="AA125" s="4">
        <f t="shared" si="22"/>
        <v>1.01064119440164</v>
      </c>
      <c r="AB125" s="4">
        <f t="shared" si="22"/>
        <v>0.880691180614452</v>
      </c>
      <c r="AC125" s="4">
        <f t="shared" si="22"/>
        <v>0.774258109040098</v>
      </c>
      <c r="AD125" s="4">
        <f t="shared" si="22"/>
        <v>0.75665493754011</v>
      </c>
      <c r="AE125" s="4">
        <f t="shared" si="22"/>
        <v>0.684867119450724</v>
      </c>
      <c r="AF125" s="4">
        <f t="shared" si="22"/>
        <v>0.637131715216633</v>
      </c>
      <c r="AG125" s="4">
        <f t="shared" si="22"/>
        <v>0.601333580644463</v>
      </c>
      <c r="AH125" s="4">
        <f t="shared" si="17"/>
        <v>0.467189642050752</v>
      </c>
      <c r="AI125" s="4">
        <f t="shared" si="17"/>
        <v>0.391493051016293</v>
      </c>
      <c r="AJ125" s="4">
        <f t="shared" si="17"/>
        <v>0.355401965334779</v>
      </c>
    </row>
    <row r="126" spans="1:36">
      <c r="A126" t="str">
        <f>"post-semis_procurement_archetype_"&amp;TEXT(ROUND(Table2691617[[#This Row],[2016]],3),"0.0")</f>
        <v>post-semis_procurement_archetype_7.9</v>
      </c>
      <c r="B126" s="4">
        <f t="shared" si="13"/>
        <v>7.9</v>
      </c>
      <c r="C126" s="4">
        <f t="shared" si="23"/>
        <v>7.9</v>
      </c>
      <c r="D126" s="4">
        <f t="shared" si="23"/>
        <v>7.9</v>
      </c>
      <c r="E126" s="4">
        <f t="shared" si="23"/>
        <v>7.6977065997015</v>
      </c>
      <c r="F126" s="4">
        <f t="shared" si="23"/>
        <v>7.20865050647701</v>
      </c>
      <c r="G126" s="4">
        <f t="shared" si="23"/>
        <v>7.27702174373165</v>
      </c>
      <c r="H126" s="4">
        <f t="shared" si="23"/>
        <v>7.06474202940105</v>
      </c>
      <c r="I126" s="4">
        <f t="shared" si="23"/>
        <v>6.65410158465065</v>
      </c>
      <c r="J126" s="4">
        <f t="shared" si="23"/>
        <v>6.42342439049722</v>
      </c>
      <c r="K126" s="4">
        <f t="shared" si="23"/>
        <v>6.18662937393568</v>
      </c>
      <c r="L126" s="4">
        <f t="shared" si="23"/>
        <v>5.81258393223418</v>
      </c>
      <c r="M126" s="4">
        <f t="shared" si="23"/>
        <v>5.76718644322335</v>
      </c>
      <c r="N126" s="4">
        <f t="shared" si="23"/>
        <v>5.46070221078511</v>
      </c>
      <c r="O126" s="4">
        <f t="shared" si="23"/>
        <v>5.14290354758431</v>
      </c>
      <c r="P126" s="4">
        <f t="shared" si="23"/>
        <v>4.76719975398844</v>
      </c>
      <c r="Q126" s="4">
        <f t="shared" si="23"/>
        <v>4.16057494023065</v>
      </c>
      <c r="R126" s="4">
        <f t="shared" si="23"/>
        <v>3.34221880472071</v>
      </c>
      <c r="S126" s="4">
        <f t="shared" si="22"/>
        <v>3.08124342076626</v>
      </c>
      <c r="T126" s="4">
        <f t="shared" si="22"/>
        <v>2.51395639912511</v>
      </c>
      <c r="U126" s="4">
        <f t="shared" si="22"/>
        <v>1.94226217973714</v>
      </c>
      <c r="V126" s="4">
        <f t="shared" si="22"/>
        <v>1.82692145957486</v>
      </c>
      <c r="W126" s="4">
        <f t="shared" si="22"/>
        <v>1.4789000650553</v>
      </c>
      <c r="X126" s="4">
        <f t="shared" si="22"/>
        <v>1.30229886629637</v>
      </c>
      <c r="Y126" s="4">
        <f t="shared" si="22"/>
        <v>1.11860400477413</v>
      </c>
      <c r="Z126" s="4">
        <f t="shared" si="22"/>
        <v>1.08989969240741</v>
      </c>
      <c r="AA126" s="4">
        <f t="shared" si="22"/>
        <v>1.00206992320994</v>
      </c>
      <c r="AB126" s="4">
        <f t="shared" si="22"/>
        <v>0.873819802774863</v>
      </c>
      <c r="AC126" s="4">
        <f t="shared" si="22"/>
        <v>0.76877899631493</v>
      </c>
      <c r="AD126" s="4">
        <f t="shared" si="22"/>
        <v>0.751406094234212</v>
      </c>
      <c r="AE126" s="4">
        <f t="shared" si="22"/>
        <v>0.680557342107011</v>
      </c>
      <c r="AF126" s="4">
        <f t="shared" si="22"/>
        <v>0.633446371021891</v>
      </c>
      <c r="AG126" s="4">
        <f t="shared" si="22"/>
        <v>0.598116516592246</v>
      </c>
      <c r="AH126" s="4">
        <f t="shared" si="17"/>
        <v>0.465727332636849</v>
      </c>
      <c r="AI126" s="4">
        <f t="shared" si="17"/>
        <v>0.391020938741484</v>
      </c>
      <c r="AJ126" s="4">
        <f t="shared" si="17"/>
        <v>0.355401965334779</v>
      </c>
    </row>
    <row r="127" spans="1:36">
      <c r="A127" t="str">
        <f>"post-semis_procurement_archetype_"&amp;TEXT(ROUND(Table2691617[[#This Row],[2016]],3),"0.0")</f>
        <v>post-semis_procurement_archetype_7.8</v>
      </c>
      <c r="B127" s="4">
        <f t="shared" si="13"/>
        <v>7.8</v>
      </c>
      <c r="C127" s="4">
        <f t="shared" si="23"/>
        <v>7.8</v>
      </c>
      <c r="D127" s="4">
        <f t="shared" si="23"/>
        <v>7.8</v>
      </c>
      <c r="E127" s="4">
        <f t="shared" si="23"/>
        <v>7.60038790093675</v>
      </c>
      <c r="F127" s="4">
        <f t="shared" si="23"/>
        <v>7.11781400982532</v>
      </c>
      <c r="G127" s="4">
        <f t="shared" si="23"/>
        <v>7.18527901937982</v>
      </c>
      <c r="H127" s="4">
        <f t="shared" si="23"/>
        <v>6.97581297004973</v>
      </c>
      <c r="I127" s="4">
        <f t="shared" si="23"/>
        <v>6.57061536589685</v>
      </c>
      <c r="J127" s="4">
        <f t="shared" si="23"/>
        <v>6.3429956864459</v>
      </c>
      <c r="K127" s="4">
        <f t="shared" si="23"/>
        <v>6.10933927336561</v>
      </c>
      <c r="L127" s="4">
        <f t="shared" si="23"/>
        <v>5.7402516231857</v>
      </c>
      <c r="M127" s="4">
        <f t="shared" si="23"/>
        <v>5.69545585594723</v>
      </c>
      <c r="N127" s="4">
        <f t="shared" si="23"/>
        <v>5.39303392385991</v>
      </c>
      <c r="O127" s="4">
        <f t="shared" si="23"/>
        <v>5.07944752832056</v>
      </c>
      <c r="P127" s="4">
        <f t="shared" si="23"/>
        <v>4.70872350689903</v>
      </c>
      <c r="Q127" s="4">
        <f t="shared" si="23"/>
        <v>4.11013921181395</v>
      </c>
      <c r="R127" s="4">
        <f t="shared" si="23"/>
        <v>3.30262999129868</v>
      </c>
      <c r="S127" s="4">
        <f t="shared" si="22"/>
        <v>3.04511370990682</v>
      </c>
      <c r="T127" s="4">
        <f t="shared" si="22"/>
        <v>2.48534580351919</v>
      </c>
      <c r="U127" s="4">
        <f t="shared" si="22"/>
        <v>1.92122911466049</v>
      </c>
      <c r="V127" s="4">
        <f t="shared" si="22"/>
        <v>1.80741717998993</v>
      </c>
      <c r="W127" s="4">
        <f t="shared" si="22"/>
        <v>1.46400864082622</v>
      </c>
      <c r="X127" s="4">
        <f t="shared" si="22"/>
        <v>1.28974820559038</v>
      </c>
      <c r="Y127" s="4">
        <f t="shared" si="22"/>
        <v>1.10848813066218</v>
      </c>
      <c r="Z127" s="4">
        <f t="shared" si="22"/>
        <v>1.08016428008064</v>
      </c>
      <c r="AA127" s="4">
        <f t="shared" si="22"/>
        <v>0.993498652018233</v>
      </c>
      <c r="AB127" s="4">
        <f t="shared" si="22"/>
        <v>0.866948424935273</v>
      </c>
      <c r="AC127" s="4">
        <f t="shared" si="22"/>
        <v>0.763299883589761</v>
      </c>
      <c r="AD127" s="4">
        <f t="shared" si="22"/>
        <v>0.746157250928314</v>
      </c>
      <c r="AE127" s="4">
        <f t="shared" si="22"/>
        <v>0.676247564763298</v>
      </c>
      <c r="AF127" s="4">
        <f t="shared" si="22"/>
        <v>0.62976102682715</v>
      </c>
      <c r="AG127" s="4">
        <f t="shared" si="22"/>
        <v>0.59489945254003</v>
      </c>
      <c r="AH127" s="4">
        <f t="shared" si="17"/>
        <v>0.464265023222945</v>
      </c>
      <c r="AI127" s="4">
        <f t="shared" si="17"/>
        <v>0.390548826466674</v>
      </c>
      <c r="AJ127" s="4">
        <f t="shared" si="17"/>
        <v>0.355401965334779</v>
      </c>
    </row>
    <row r="128" spans="1:36">
      <c r="A128" t="str">
        <f>"post-semis_procurement_archetype_"&amp;TEXT(ROUND(Table2691617[[#This Row],[2016]],3),"0.0")</f>
        <v>post-semis_procurement_archetype_7.7</v>
      </c>
      <c r="B128" s="4">
        <f t="shared" si="13"/>
        <v>7.7</v>
      </c>
      <c r="C128" s="4">
        <f t="shared" si="23"/>
        <v>7.7</v>
      </c>
      <c r="D128" s="4">
        <f t="shared" si="23"/>
        <v>7.7</v>
      </c>
      <c r="E128" s="4">
        <f t="shared" si="23"/>
        <v>7.50306920217201</v>
      </c>
      <c r="F128" s="4">
        <f t="shared" si="23"/>
        <v>7.02697751317363</v>
      </c>
      <c r="G128" s="4">
        <f t="shared" si="23"/>
        <v>7.09353629502798</v>
      </c>
      <c r="H128" s="4">
        <f t="shared" si="23"/>
        <v>6.8868839106984</v>
      </c>
      <c r="I128" s="4">
        <f t="shared" si="23"/>
        <v>6.48712914714304</v>
      </c>
      <c r="J128" s="4">
        <f t="shared" si="23"/>
        <v>6.26256698239458</v>
      </c>
      <c r="K128" s="4">
        <f t="shared" si="23"/>
        <v>6.03204917279553</v>
      </c>
      <c r="L128" s="4">
        <f t="shared" si="23"/>
        <v>5.66791931413722</v>
      </c>
      <c r="M128" s="4">
        <f t="shared" si="23"/>
        <v>5.6237252686711</v>
      </c>
      <c r="N128" s="4">
        <f t="shared" si="23"/>
        <v>5.3253656369347</v>
      </c>
      <c r="O128" s="4">
        <f t="shared" si="23"/>
        <v>5.01599150905681</v>
      </c>
      <c r="P128" s="4">
        <f t="shared" si="23"/>
        <v>4.65024725980962</v>
      </c>
      <c r="Q128" s="4">
        <f t="shared" si="23"/>
        <v>4.05970348339724</v>
      </c>
      <c r="R128" s="4">
        <f t="shared" si="23"/>
        <v>3.26304117787665</v>
      </c>
      <c r="S128" s="4">
        <f t="shared" si="22"/>
        <v>3.00898399904738</v>
      </c>
      <c r="T128" s="4">
        <f t="shared" si="22"/>
        <v>2.45673520791327</v>
      </c>
      <c r="U128" s="4">
        <f t="shared" si="22"/>
        <v>1.90019604958385</v>
      </c>
      <c r="V128" s="4">
        <f t="shared" si="22"/>
        <v>1.78791290040501</v>
      </c>
      <c r="W128" s="4">
        <f t="shared" si="22"/>
        <v>1.44911721659715</v>
      </c>
      <c r="X128" s="4">
        <f t="shared" si="22"/>
        <v>1.27719754488439</v>
      </c>
      <c r="Y128" s="4">
        <f t="shared" si="22"/>
        <v>1.09837225655023</v>
      </c>
      <c r="Z128" s="4">
        <f t="shared" si="22"/>
        <v>1.07042886775386</v>
      </c>
      <c r="AA128" s="4">
        <f t="shared" si="22"/>
        <v>0.984927380826529</v>
      </c>
      <c r="AB128" s="4">
        <f t="shared" si="22"/>
        <v>0.860077047095684</v>
      </c>
      <c r="AC128" s="4">
        <f t="shared" si="22"/>
        <v>0.757820770864593</v>
      </c>
      <c r="AD128" s="4">
        <f t="shared" si="22"/>
        <v>0.740908407622416</v>
      </c>
      <c r="AE128" s="4">
        <f t="shared" si="22"/>
        <v>0.671937787419585</v>
      </c>
      <c r="AF128" s="4">
        <f t="shared" si="22"/>
        <v>0.626075682632408</v>
      </c>
      <c r="AG128" s="4">
        <f t="shared" si="22"/>
        <v>0.591682388487813</v>
      </c>
      <c r="AH128" s="4">
        <f t="shared" si="17"/>
        <v>0.462802713809042</v>
      </c>
      <c r="AI128" s="4">
        <f t="shared" si="17"/>
        <v>0.390076714191864</v>
      </c>
      <c r="AJ128" s="4">
        <f t="shared" si="17"/>
        <v>0.355401965334779</v>
      </c>
    </row>
    <row r="129" spans="1:36">
      <c r="A129" t="str">
        <f>"post-semis_procurement_archetype_"&amp;TEXT(ROUND(Table2691617[[#This Row],[2016]],3),"0.0")</f>
        <v>post-semis_procurement_archetype_7.6</v>
      </c>
      <c r="B129" s="4">
        <f t="shared" si="13"/>
        <v>7.6</v>
      </c>
      <c r="C129" s="4">
        <f t="shared" si="23"/>
        <v>7.6</v>
      </c>
      <c r="D129" s="4">
        <f t="shared" si="23"/>
        <v>7.6</v>
      </c>
      <c r="E129" s="4">
        <f t="shared" si="23"/>
        <v>7.40575050340726</v>
      </c>
      <c r="F129" s="4">
        <f t="shared" si="23"/>
        <v>6.93614101652194</v>
      </c>
      <c r="G129" s="4">
        <f t="shared" si="23"/>
        <v>7.00179357067615</v>
      </c>
      <c r="H129" s="4">
        <f t="shared" si="23"/>
        <v>6.79795485134708</v>
      </c>
      <c r="I129" s="4">
        <f t="shared" si="23"/>
        <v>6.40364292838924</v>
      </c>
      <c r="J129" s="4">
        <f t="shared" si="23"/>
        <v>6.18213827834326</v>
      </c>
      <c r="K129" s="4">
        <f t="shared" si="23"/>
        <v>5.95475907222545</v>
      </c>
      <c r="L129" s="4">
        <f t="shared" si="23"/>
        <v>5.59558700508875</v>
      </c>
      <c r="M129" s="4">
        <f t="shared" si="23"/>
        <v>5.55199468139497</v>
      </c>
      <c r="N129" s="4">
        <f t="shared" si="23"/>
        <v>5.2576973500095</v>
      </c>
      <c r="O129" s="4">
        <f t="shared" si="23"/>
        <v>4.95253548979307</v>
      </c>
      <c r="P129" s="4">
        <f t="shared" si="23"/>
        <v>4.59177101272021</v>
      </c>
      <c r="Q129" s="4">
        <f t="shared" si="23"/>
        <v>4.00926775498054</v>
      </c>
      <c r="R129" s="4">
        <f t="shared" si="23"/>
        <v>3.22345236445461</v>
      </c>
      <c r="S129" s="4">
        <f t="shared" si="22"/>
        <v>2.97285428818794</v>
      </c>
      <c r="T129" s="4">
        <f t="shared" si="22"/>
        <v>2.42812461230735</v>
      </c>
      <c r="U129" s="4">
        <f t="shared" si="22"/>
        <v>1.87916298450721</v>
      </c>
      <c r="V129" s="4">
        <f t="shared" si="22"/>
        <v>1.76840862082008</v>
      </c>
      <c r="W129" s="4">
        <f t="shared" si="22"/>
        <v>1.43422579236807</v>
      </c>
      <c r="X129" s="4">
        <f t="shared" si="22"/>
        <v>1.2646468841784</v>
      </c>
      <c r="Y129" s="4">
        <f t="shared" si="22"/>
        <v>1.08825638243828</v>
      </c>
      <c r="Z129" s="4">
        <f t="shared" si="22"/>
        <v>1.06069345542708</v>
      </c>
      <c r="AA129" s="4">
        <f t="shared" si="22"/>
        <v>0.976356109634824</v>
      </c>
      <c r="AB129" s="4">
        <f t="shared" si="22"/>
        <v>0.853205669256095</v>
      </c>
      <c r="AC129" s="4">
        <f t="shared" si="22"/>
        <v>0.752341658139424</v>
      </c>
      <c r="AD129" s="4">
        <f t="shared" si="22"/>
        <v>0.735659564316518</v>
      </c>
      <c r="AE129" s="4">
        <f t="shared" si="22"/>
        <v>0.667628010075871</v>
      </c>
      <c r="AF129" s="4">
        <f t="shared" si="22"/>
        <v>0.622390338437667</v>
      </c>
      <c r="AG129" s="4">
        <f t="shared" si="22"/>
        <v>0.588465324435596</v>
      </c>
      <c r="AH129" s="4">
        <f t="shared" si="17"/>
        <v>0.461340404395139</v>
      </c>
      <c r="AI129" s="4">
        <f t="shared" si="17"/>
        <v>0.389604601917055</v>
      </c>
      <c r="AJ129" s="4">
        <f t="shared" si="17"/>
        <v>0.355401965334779</v>
      </c>
    </row>
    <row r="130" spans="1:36">
      <c r="A130" t="str">
        <f>"post-semis_procurement_archetype_"&amp;TEXT(ROUND(Table2691617[[#This Row],[2016]],3),"0.0")</f>
        <v>post-semis_procurement_archetype_7.5</v>
      </c>
      <c r="B130" s="4">
        <f t="shared" si="13"/>
        <v>7.5</v>
      </c>
      <c r="C130" s="4">
        <f t="shared" si="23"/>
        <v>7.5</v>
      </c>
      <c r="D130" s="4">
        <f t="shared" si="23"/>
        <v>7.5</v>
      </c>
      <c r="E130" s="4">
        <f t="shared" si="23"/>
        <v>7.30843180464252</v>
      </c>
      <c r="F130" s="4">
        <f t="shared" si="23"/>
        <v>6.84530451987024</v>
      </c>
      <c r="G130" s="4">
        <f t="shared" si="23"/>
        <v>6.91005084632431</v>
      </c>
      <c r="H130" s="4">
        <f t="shared" si="23"/>
        <v>6.70902579199575</v>
      </c>
      <c r="I130" s="4">
        <f t="shared" si="23"/>
        <v>6.32015670963543</v>
      </c>
      <c r="J130" s="4">
        <f t="shared" si="23"/>
        <v>6.10170957429194</v>
      </c>
      <c r="K130" s="4">
        <f t="shared" si="23"/>
        <v>5.87746897165537</v>
      </c>
      <c r="L130" s="4">
        <f t="shared" si="23"/>
        <v>5.52325469604027</v>
      </c>
      <c r="M130" s="4">
        <f t="shared" si="23"/>
        <v>5.48026409411884</v>
      </c>
      <c r="N130" s="4">
        <f t="shared" si="23"/>
        <v>5.1900290630843</v>
      </c>
      <c r="O130" s="4">
        <f t="shared" si="23"/>
        <v>4.88907947052932</v>
      </c>
      <c r="P130" s="4">
        <f t="shared" si="23"/>
        <v>4.5332947656308</v>
      </c>
      <c r="Q130" s="4">
        <f t="shared" si="23"/>
        <v>3.95883202656383</v>
      </c>
      <c r="R130" s="4">
        <f t="shared" si="23"/>
        <v>3.18386355103258</v>
      </c>
      <c r="S130" s="4">
        <f t="shared" si="22"/>
        <v>2.9367245773285</v>
      </c>
      <c r="T130" s="4">
        <f t="shared" si="22"/>
        <v>2.39951401670143</v>
      </c>
      <c r="U130" s="4">
        <f t="shared" si="22"/>
        <v>1.85812991943056</v>
      </c>
      <c r="V130" s="4">
        <f t="shared" si="22"/>
        <v>1.74890434123515</v>
      </c>
      <c r="W130" s="4">
        <f t="shared" si="22"/>
        <v>1.41933436813899</v>
      </c>
      <c r="X130" s="4">
        <f t="shared" si="22"/>
        <v>1.25209622347241</v>
      </c>
      <c r="Y130" s="4">
        <f t="shared" si="22"/>
        <v>1.07814050832633</v>
      </c>
      <c r="Z130" s="4">
        <f t="shared" si="22"/>
        <v>1.0509580431003</v>
      </c>
      <c r="AA130" s="4">
        <f t="shared" si="22"/>
        <v>0.96778483844312</v>
      </c>
      <c r="AB130" s="4">
        <f t="shared" si="22"/>
        <v>0.846334291416505</v>
      </c>
      <c r="AC130" s="4">
        <f t="shared" si="22"/>
        <v>0.746862545414256</v>
      </c>
      <c r="AD130" s="4">
        <f t="shared" si="22"/>
        <v>0.73041072101062</v>
      </c>
      <c r="AE130" s="4">
        <f t="shared" si="22"/>
        <v>0.663318232732158</v>
      </c>
      <c r="AF130" s="4">
        <f t="shared" si="22"/>
        <v>0.618704994242925</v>
      </c>
      <c r="AG130" s="4">
        <f t="shared" si="22"/>
        <v>0.585248260383379</v>
      </c>
      <c r="AH130" s="4">
        <f t="shared" si="17"/>
        <v>0.459878094981236</v>
      </c>
      <c r="AI130" s="4">
        <f t="shared" si="17"/>
        <v>0.389132489642245</v>
      </c>
      <c r="AJ130" s="4">
        <f t="shared" si="17"/>
        <v>0.355401965334779</v>
      </c>
    </row>
    <row r="131" spans="1:36">
      <c r="A131" t="str">
        <f>"post-semis_procurement_archetype_"&amp;TEXT(ROUND(Table2691617[[#This Row],[2016]],3),"0.0")</f>
        <v>post-semis_procurement_archetype_7.4</v>
      </c>
      <c r="B131" s="4">
        <f t="shared" si="13"/>
        <v>7.4</v>
      </c>
      <c r="C131" s="4">
        <f t="shared" si="23"/>
        <v>7.4</v>
      </c>
      <c r="D131" s="4">
        <f t="shared" si="23"/>
        <v>7.4</v>
      </c>
      <c r="E131" s="4">
        <f t="shared" si="23"/>
        <v>7.21111310587777</v>
      </c>
      <c r="F131" s="4">
        <f t="shared" si="23"/>
        <v>6.75446802321855</v>
      </c>
      <c r="G131" s="4">
        <f t="shared" si="23"/>
        <v>6.81830812197248</v>
      </c>
      <c r="H131" s="4">
        <f t="shared" si="23"/>
        <v>6.62009673264443</v>
      </c>
      <c r="I131" s="4">
        <f t="shared" si="23"/>
        <v>6.23667049088163</v>
      </c>
      <c r="J131" s="4">
        <f t="shared" si="23"/>
        <v>6.02128087024063</v>
      </c>
      <c r="K131" s="4">
        <f t="shared" si="23"/>
        <v>5.80017887108529</v>
      </c>
      <c r="L131" s="4">
        <f t="shared" si="23"/>
        <v>5.45092238699179</v>
      </c>
      <c r="M131" s="4">
        <f t="shared" si="23"/>
        <v>5.40853350684271</v>
      </c>
      <c r="N131" s="4">
        <f t="shared" si="23"/>
        <v>5.1223607761591</v>
      </c>
      <c r="O131" s="4">
        <f t="shared" si="23"/>
        <v>4.82562345126557</v>
      </c>
      <c r="P131" s="4">
        <f t="shared" si="23"/>
        <v>4.47481851854139</v>
      </c>
      <c r="Q131" s="4">
        <f t="shared" si="23"/>
        <v>3.90839629814712</v>
      </c>
      <c r="R131" s="4">
        <f t="shared" si="23"/>
        <v>3.14427473761055</v>
      </c>
      <c r="S131" s="4">
        <f t="shared" si="22"/>
        <v>2.90059486646906</v>
      </c>
      <c r="T131" s="4">
        <f t="shared" si="22"/>
        <v>2.37090342109551</v>
      </c>
      <c r="U131" s="4">
        <f t="shared" si="22"/>
        <v>1.83709685435392</v>
      </c>
      <c r="V131" s="4">
        <f t="shared" si="22"/>
        <v>1.72940006165022</v>
      </c>
      <c r="W131" s="4">
        <f t="shared" si="22"/>
        <v>1.40444294390992</v>
      </c>
      <c r="X131" s="4">
        <f t="shared" si="22"/>
        <v>1.23954556276642</v>
      </c>
      <c r="Y131" s="4">
        <f t="shared" si="22"/>
        <v>1.06802463421438</v>
      </c>
      <c r="Z131" s="4">
        <f t="shared" si="22"/>
        <v>1.04122263077352</v>
      </c>
      <c r="AA131" s="4">
        <f t="shared" si="22"/>
        <v>0.959213567251415</v>
      </c>
      <c r="AB131" s="4">
        <f t="shared" si="22"/>
        <v>0.839462913576916</v>
      </c>
      <c r="AC131" s="4">
        <f t="shared" si="22"/>
        <v>0.741383432689087</v>
      </c>
      <c r="AD131" s="4">
        <f t="shared" si="22"/>
        <v>0.725161877704722</v>
      </c>
      <c r="AE131" s="4">
        <f t="shared" si="22"/>
        <v>0.659008455388445</v>
      </c>
      <c r="AF131" s="4">
        <f t="shared" si="22"/>
        <v>0.615019650048184</v>
      </c>
      <c r="AG131" s="4">
        <f t="shared" si="22"/>
        <v>0.582031196331163</v>
      </c>
      <c r="AH131" s="4">
        <f t="shared" si="17"/>
        <v>0.458415785567332</v>
      </c>
      <c r="AI131" s="4">
        <f t="shared" si="17"/>
        <v>0.388660377367435</v>
      </c>
      <c r="AJ131" s="4">
        <f t="shared" si="17"/>
        <v>0.355401965334779</v>
      </c>
    </row>
    <row r="132" spans="1:36">
      <c r="A132" t="str">
        <f>"post-semis_procurement_archetype_"&amp;TEXT(ROUND(Table2691617[[#This Row],[2016]],3),"0.0")</f>
        <v>post-semis_procurement_archetype_7.3</v>
      </c>
      <c r="B132" s="4">
        <f t="shared" si="13"/>
        <v>7.3</v>
      </c>
      <c r="C132" s="4">
        <f t="shared" si="23"/>
        <v>7.3</v>
      </c>
      <c r="D132" s="4">
        <f t="shared" si="23"/>
        <v>7.3</v>
      </c>
      <c r="E132" s="4">
        <f t="shared" si="23"/>
        <v>7.11379440711303</v>
      </c>
      <c r="F132" s="4">
        <f t="shared" si="23"/>
        <v>6.66363152656686</v>
      </c>
      <c r="G132" s="4">
        <f t="shared" si="23"/>
        <v>6.72656539762064</v>
      </c>
      <c r="H132" s="4">
        <f t="shared" si="23"/>
        <v>6.53116767329311</v>
      </c>
      <c r="I132" s="4">
        <f t="shared" si="23"/>
        <v>6.15318427212782</v>
      </c>
      <c r="J132" s="4">
        <f t="shared" si="23"/>
        <v>5.94085216618931</v>
      </c>
      <c r="K132" s="4">
        <f t="shared" si="23"/>
        <v>5.72288877051521</v>
      </c>
      <c r="L132" s="4">
        <f t="shared" si="23"/>
        <v>5.37859007794331</v>
      </c>
      <c r="M132" s="4">
        <f t="shared" si="23"/>
        <v>5.33680291956659</v>
      </c>
      <c r="N132" s="4">
        <f t="shared" si="23"/>
        <v>5.0546924892339</v>
      </c>
      <c r="O132" s="4">
        <f t="shared" si="23"/>
        <v>4.76216743200182</v>
      </c>
      <c r="P132" s="4">
        <f t="shared" si="23"/>
        <v>4.41634227145197</v>
      </c>
      <c r="Q132" s="4">
        <f t="shared" si="23"/>
        <v>3.85796056973042</v>
      </c>
      <c r="R132" s="4">
        <f t="shared" si="23"/>
        <v>3.10468592418852</v>
      </c>
      <c r="S132" s="4">
        <f t="shared" si="22"/>
        <v>2.86446515560962</v>
      </c>
      <c r="T132" s="4">
        <f t="shared" si="22"/>
        <v>2.34229282548959</v>
      </c>
      <c r="U132" s="4">
        <f t="shared" si="22"/>
        <v>1.81606378927727</v>
      </c>
      <c r="V132" s="4">
        <f t="shared" si="22"/>
        <v>1.70989578206529</v>
      </c>
      <c r="W132" s="4">
        <f t="shared" si="22"/>
        <v>1.38955151968084</v>
      </c>
      <c r="X132" s="4">
        <f t="shared" si="22"/>
        <v>1.22699490206044</v>
      </c>
      <c r="Y132" s="4">
        <f t="shared" si="22"/>
        <v>1.05790876010243</v>
      </c>
      <c r="Z132" s="4">
        <f t="shared" si="22"/>
        <v>1.03148721844675</v>
      </c>
      <c r="AA132" s="4">
        <f t="shared" si="22"/>
        <v>0.950642296059711</v>
      </c>
      <c r="AB132" s="4">
        <f t="shared" si="22"/>
        <v>0.832591535737327</v>
      </c>
      <c r="AC132" s="4">
        <f t="shared" si="22"/>
        <v>0.735904319963919</v>
      </c>
      <c r="AD132" s="4">
        <f t="shared" si="22"/>
        <v>0.719913034398824</v>
      </c>
      <c r="AE132" s="4">
        <f t="shared" si="22"/>
        <v>0.654698678044732</v>
      </c>
      <c r="AF132" s="4">
        <f t="shared" si="22"/>
        <v>0.611334305853443</v>
      </c>
      <c r="AG132" s="4">
        <f t="shared" si="22"/>
        <v>0.578814132278946</v>
      </c>
      <c r="AH132" s="4">
        <f t="shared" si="17"/>
        <v>0.456953476153429</v>
      </c>
      <c r="AI132" s="4">
        <f t="shared" si="17"/>
        <v>0.388188265092625</v>
      </c>
      <c r="AJ132" s="4">
        <f t="shared" si="17"/>
        <v>0.355401965334779</v>
      </c>
    </row>
    <row r="133" spans="1:36">
      <c r="A133" t="str">
        <f>"post-semis_procurement_archetype_"&amp;TEXT(ROUND(Table2691617[[#This Row],[2016]],3),"0.0")</f>
        <v>post-semis_procurement_archetype_7.2</v>
      </c>
      <c r="B133" s="4">
        <f t="shared" si="13"/>
        <v>7.2</v>
      </c>
      <c r="C133" s="4">
        <f t="shared" si="23"/>
        <v>7.2</v>
      </c>
      <c r="D133" s="4">
        <f t="shared" si="23"/>
        <v>7.2</v>
      </c>
      <c r="E133" s="4">
        <f t="shared" si="23"/>
        <v>7.01647570834828</v>
      </c>
      <c r="F133" s="4">
        <f t="shared" si="23"/>
        <v>6.57279502991517</v>
      </c>
      <c r="G133" s="4">
        <f t="shared" si="23"/>
        <v>6.63482267326881</v>
      </c>
      <c r="H133" s="4">
        <f t="shared" si="23"/>
        <v>6.44223861394178</v>
      </c>
      <c r="I133" s="4">
        <f t="shared" si="23"/>
        <v>6.06969805337402</v>
      </c>
      <c r="J133" s="4">
        <f t="shared" si="23"/>
        <v>5.86042346213799</v>
      </c>
      <c r="K133" s="4">
        <f t="shared" si="23"/>
        <v>5.64559866994514</v>
      </c>
      <c r="L133" s="4">
        <f t="shared" si="23"/>
        <v>5.30625776889484</v>
      </c>
      <c r="M133" s="4">
        <f t="shared" si="23"/>
        <v>5.26507233229046</v>
      </c>
      <c r="N133" s="4">
        <f t="shared" si="23"/>
        <v>4.9870242023087</v>
      </c>
      <c r="O133" s="4">
        <f t="shared" si="23"/>
        <v>4.69871141273807</v>
      </c>
      <c r="P133" s="4">
        <f t="shared" si="23"/>
        <v>4.35786602436256</v>
      </c>
      <c r="Q133" s="4">
        <f t="shared" si="23"/>
        <v>3.80752484131371</v>
      </c>
      <c r="R133" s="4">
        <f t="shared" si="23"/>
        <v>3.06509711076648</v>
      </c>
      <c r="S133" s="4">
        <f t="shared" si="22"/>
        <v>2.82833544475018</v>
      </c>
      <c r="T133" s="4">
        <f t="shared" si="22"/>
        <v>2.31368222988366</v>
      </c>
      <c r="U133" s="4">
        <f t="shared" si="22"/>
        <v>1.79503072420063</v>
      </c>
      <c r="V133" s="4">
        <f t="shared" si="22"/>
        <v>1.69039150248037</v>
      </c>
      <c r="W133" s="4">
        <f t="shared" si="22"/>
        <v>1.37466009545177</v>
      </c>
      <c r="X133" s="4">
        <f t="shared" si="22"/>
        <v>1.21444424135445</v>
      </c>
      <c r="Y133" s="4">
        <f t="shared" si="22"/>
        <v>1.04779288599048</v>
      </c>
      <c r="Z133" s="4">
        <f t="shared" si="22"/>
        <v>1.02175180611997</v>
      </c>
      <c r="AA133" s="4">
        <f t="shared" si="22"/>
        <v>0.942071024868007</v>
      </c>
      <c r="AB133" s="4">
        <f t="shared" si="22"/>
        <v>0.825720157897737</v>
      </c>
      <c r="AC133" s="4">
        <f t="shared" si="22"/>
        <v>0.73042520723875</v>
      </c>
      <c r="AD133" s="4">
        <f t="shared" si="22"/>
        <v>0.714664191092927</v>
      </c>
      <c r="AE133" s="4">
        <f t="shared" si="22"/>
        <v>0.650388900701019</v>
      </c>
      <c r="AF133" s="4">
        <f t="shared" si="22"/>
        <v>0.607648961658701</v>
      </c>
      <c r="AG133" s="4">
        <f t="shared" si="22"/>
        <v>0.575597068226729</v>
      </c>
      <c r="AH133" s="4">
        <f t="shared" si="17"/>
        <v>0.455491166739526</v>
      </c>
      <c r="AI133" s="4">
        <f t="shared" si="17"/>
        <v>0.387716152817816</v>
      </c>
      <c r="AJ133" s="4">
        <f t="shared" si="17"/>
        <v>0.355401965334779</v>
      </c>
    </row>
    <row r="134" spans="1:36">
      <c r="A134" t="str">
        <f>"post-semis_procurement_archetype_"&amp;TEXT(ROUND(Table2691617[[#This Row],[2016]],3),"0.0")</f>
        <v>post-semis_procurement_archetype_7.1</v>
      </c>
      <c r="B134" s="4">
        <f t="shared" si="13"/>
        <v>7.1</v>
      </c>
      <c r="C134" s="4">
        <f t="shared" si="23"/>
        <v>7.1</v>
      </c>
      <c r="D134" s="4">
        <f t="shared" si="23"/>
        <v>7.1</v>
      </c>
      <c r="E134" s="4">
        <f t="shared" si="23"/>
        <v>6.91915700958354</v>
      </c>
      <c r="F134" s="4">
        <f t="shared" si="23"/>
        <v>6.48195853326348</v>
      </c>
      <c r="G134" s="4">
        <f t="shared" si="23"/>
        <v>6.54307994891697</v>
      </c>
      <c r="H134" s="4">
        <f t="shared" si="23"/>
        <v>6.35330955459046</v>
      </c>
      <c r="I134" s="4">
        <f t="shared" si="23"/>
        <v>5.98621183462021</v>
      </c>
      <c r="J134" s="4">
        <f t="shared" si="23"/>
        <v>5.77999475808667</v>
      </c>
      <c r="K134" s="4">
        <f t="shared" si="23"/>
        <v>5.56830856937506</v>
      </c>
      <c r="L134" s="4">
        <f t="shared" si="23"/>
        <v>5.23392545984636</v>
      </c>
      <c r="M134" s="4">
        <f t="shared" si="23"/>
        <v>5.19334174501433</v>
      </c>
      <c r="N134" s="4">
        <f t="shared" si="23"/>
        <v>4.9193559153835</v>
      </c>
      <c r="O134" s="4">
        <f t="shared" si="23"/>
        <v>4.63525539347433</v>
      </c>
      <c r="P134" s="4">
        <f t="shared" si="23"/>
        <v>4.29938977727315</v>
      </c>
      <c r="Q134" s="4">
        <f t="shared" si="23"/>
        <v>3.75708911289701</v>
      </c>
      <c r="R134" s="4">
        <f t="shared" si="23"/>
        <v>3.02550829734445</v>
      </c>
      <c r="S134" s="4">
        <f t="shared" si="22"/>
        <v>2.79220573389074</v>
      </c>
      <c r="T134" s="4">
        <f t="shared" si="22"/>
        <v>2.28507163427774</v>
      </c>
      <c r="U134" s="4">
        <f t="shared" si="22"/>
        <v>1.77399765912398</v>
      </c>
      <c r="V134" s="4">
        <f t="shared" si="22"/>
        <v>1.67088722289544</v>
      </c>
      <c r="W134" s="4">
        <f t="shared" si="22"/>
        <v>1.35976867122269</v>
      </c>
      <c r="X134" s="4">
        <f t="shared" si="22"/>
        <v>1.20189358064846</v>
      </c>
      <c r="Y134" s="4">
        <f t="shared" si="22"/>
        <v>1.03767701187853</v>
      </c>
      <c r="Z134" s="4">
        <f t="shared" si="22"/>
        <v>1.01201639379319</v>
      </c>
      <c r="AA134" s="4">
        <f t="shared" si="22"/>
        <v>0.933499753676302</v>
      </c>
      <c r="AB134" s="4">
        <f t="shared" si="22"/>
        <v>0.818848780058148</v>
      </c>
      <c r="AC134" s="4">
        <f t="shared" si="22"/>
        <v>0.724946094513582</v>
      </c>
      <c r="AD134" s="4">
        <f t="shared" si="22"/>
        <v>0.709415347787029</v>
      </c>
      <c r="AE134" s="4">
        <f t="shared" si="22"/>
        <v>0.646079123357306</v>
      </c>
      <c r="AF134" s="4">
        <f t="shared" si="22"/>
        <v>0.60396361746396</v>
      </c>
      <c r="AG134" s="4">
        <f t="shared" si="22"/>
        <v>0.572380004174512</v>
      </c>
      <c r="AH134" s="4">
        <f t="shared" si="17"/>
        <v>0.454028857325623</v>
      </c>
      <c r="AI134" s="4">
        <f t="shared" si="17"/>
        <v>0.387244040543006</v>
      </c>
      <c r="AJ134" s="4">
        <f t="shared" si="17"/>
        <v>0.355401965334779</v>
      </c>
    </row>
    <row r="135" spans="1:36">
      <c r="A135" t="str">
        <f>"post-semis_procurement_archetype_"&amp;TEXT(ROUND(Table2691617[[#This Row],[2016]],3),"0.0")</f>
        <v>post-semis_procurement_archetype_7.0</v>
      </c>
      <c r="B135" s="4">
        <f t="shared" ref="B135:B199" si="24">MROUND(B134-0.1,0.1)</f>
        <v>7</v>
      </c>
      <c r="C135" s="4">
        <f t="shared" si="23"/>
        <v>7</v>
      </c>
      <c r="D135" s="4">
        <f t="shared" si="23"/>
        <v>7</v>
      </c>
      <c r="E135" s="4">
        <f t="shared" si="23"/>
        <v>6.82183831081879</v>
      </c>
      <c r="F135" s="4">
        <f t="shared" si="23"/>
        <v>6.39112203661179</v>
      </c>
      <c r="G135" s="4">
        <f t="shared" si="23"/>
        <v>6.45133722456514</v>
      </c>
      <c r="H135" s="4">
        <f t="shared" si="23"/>
        <v>6.26438049523913</v>
      </c>
      <c r="I135" s="4">
        <f t="shared" si="23"/>
        <v>5.90272561586641</v>
      </c>
      <c r="J135" s="4">
        <f t="shared" si="23"/>
        <v>5.69956605403535</v>
      </c>
      <c r="K135" s="4">
        <f t="shared" si="23"/>
        <v>5.49101846880498</v>
      </c>
      <c r="L135" s="4">
        <f t="shared" si="23"/>
        <v>5.16159315079788</v>
      </c>
      <c r="M135" s="4">
        <f t="shared" si="23"/>
        <v>5.1216111577382</v>
      </c>
      <c r="N135" s="4">
        <f t="shared" si="23"/>
        <v>4.8516876284583</v>
      </c>
      <c r="O135" s="4">
        <f t="shared" si="23"/>
        <v>4.57179937421058</v>
      </c>
      <c r="P135" s="4">
        <f t="shared" si="23"/>
        <v>4.24091353018374</v>
      </c>
      <c r="Q135" s="4">
        <f t="shared" si="23"/>
        <v>3.7066533844803</v>
      </c>
      <c r="R135" s="4">
        <f t="shared" si="23"/>
        <v>2.98591948392242</v>
      </c>
      <c r="S135" s="4">
        <f t="shared" si="22"/>
        <v>2.7560760230313</v>
      </c>
      <c r="T135" s="4">
        <f t="shared" si="22"/>
        <v>2.25646103867182</v>
      </c>
      <c r="U135" s="4">
        <f t="shared" si="22"/>
        <v>1.75296459404734</v>
      </c>
      <c r="V135" s="4">
        <f t="shared" si="22"/>
        <v>1.65138294331051</v>
      </c>
      <c r="W135" s="4">
        <f t="shared" si="22"/>
        <v>1.34487724699361</v>
      </c>
      <c r="X135" s="4">
        <f t="shared" si="22"/>
        <v>1.18934291994247</v>
      </c>
      <c r="Y135" s="4">
        <f t="shared" si="22"/>
        <v>1.02756113776658</v>
      </c>
      <c r="Z135" s="4">
        <f t="shared" si="22"/>
        <v>1.00228098146641</v>
      </c>
      <c r="AA135" s="4">
        <f t="shared" si="22"/>
        <v>0.924928482484598</v>
      </c>
      <c r="AB135" s="4">
        <f t="shared" si="22"/>
        <v>0.811977402218558</v>
      </c>
      <c r="AC135" s="4">
        <f t="shared" si="22"/>
        <v>0.719466981788414</v>
      </c>
      <c r="AD135" s="4">
        <f t="shared" si="22"/>
        <v>0.704166504481131</v>
      </c>
      <c r="AE135" s="4">
        <f t="shared" si="22"/>
        <v>0.641769346013592</v>
      </c>
      <c r="AF135" s="4">
        <f t="shared" si="22"/>
        <v>0.600278273269218</v>
      </c>
      <c r="AG135" s="4">
        <f t="shared" si="22"/>
        <v>0.569162940122295</v>
      </c>
      <c r="AH135" s="4">
        <f t="shared" si="17"/>
        <v>0.452566547911719</v>
      </c>
      <c r="AI135" s="4">
        <f t="shared" si="17"/>
        <v>0.386771928268196</v>
      </c>
      <c r="AJ135" s="4">
        <f t="shared" si="17"/>
        <v>0.355401965334779</v>
      </c>
    </row>
    <row r="136" spans="1:36">
      <c r="A136" t="str">
        <f>"post-semis_procurement_archetype_"&amp;TEXT(ROUND(Table2691617[[#This Row],[2016]],3),"0.0")</f>
        <v>post-semis_procurement_archetype_6.9</v>
      </c>
      <c r="B136" s="4">
        <f t="shared" si="24"/>
        <v>6.9</v>
      </c>
      <c r="C136" s="4">
        <f t="shared" si="23"/>
        <v>6.9</v>
      </c>
      <c r="D136" s="4">
        <f t="shared" si="23"/>
        <v>6.9</v>
      </c>
      <c r="E136" s="4">
        <f t="shared" si="23"/>
        <v>6.72451961205405</v>
      </c>
      <c r="F136" s="4">
        <f t="shared" si="23"/>
        <v>6.3002855399601</v>
      </c>
      <c r="G136" s="4">
        <f t="shared" si="23"/>
        <v>6.3595945002133</v>
      </c>
      <c r="H136" s="4">
        <f t="shared" si="23"/>
        <v>6.17545143588781</v>
      </c>
      <c r="I136" s="4">
        <f t="shared" si="23"/>
        <v>5.8192393971126</v>
      </c>
      <c r="J136" s="4">
        <f t="shared" si="23"/>
        <v>5.61913734998404</v>
      </c>
      <c r="K136" s="4">
        <f t="shared" si="23"/>
        <v>5.4137283682349</v>
      </c>
      <c r="L136" s="4">
        <f t="shared" si="23"/>
        <v>5.0892608417494</v>
      </c>
      <c r="M136" s="4">
        <f t="shared" si="23"/>
        <v>5.04988057046207</v>
      </c>
      <c r="N136" s="4">
        <f t="shared" si="23"/>
        <v>4.7840193415331</v>
      </c>
      <c r="O136" s="4">
        <f t="shared" si="23"/>
        <v>4.50834335494683</v>
      </c>
      <c r="P136" s="4">
        <f t="shared" si="23"/>
        <v>4.18243728309433</v>
      </c>
      <c r="Q136" s="4">
        <f t="shared" si="23"/>
        <v>3.65621765606359</v>
      </c>
      <c r="R136" s="4">
        <f t="shared" si="23"/>
        <v>2.94633067050039</v>
      </c>
      <c r="S136" s="4">
        <f t="shared" si="22"/>
        <v>2.71994631217187</v>
      </c>
      <c r="T136" s="4">
        <f t="shared" si="22"/>
        <v>2.2278504430659</v>
      </c>
      <c r="U136" s="4">
        <f t="shared" si="22"/>
        <v>1.7319315289707</v>
      </c>
      <c r="V136" s="4">
        <f t="shared" si="22"/>
        <v>1.63187866372558</v>
      </c>
      <c r="W136" s="4">
        <f t="shared" si="22"/>
        <v>1.32998582276454</v>
      </c>
      <c r="X136" s="4">
        <f t="shared" si="22"/>
        <v>1.17679225923648</v>
      </c>
      <c r="Y136" s="4">
        <f t="shared" si="22"/>
        <v>1.01744526365463</v>
      </c>
      <c r="Z136" s="4">
        <f t="shared" si="22"/>
        <v>0.992545569139635</v>
      </c>
      <c r="AA136" s="4">
        <f t="shared" si="22"/>
        <v>0.916357211292893</v>
      </c>
      <c r="AB136" s="4">
        <f t="shared" si="22"/>
        <v>0.805106024378969</v>
      </c>
      <c r="AC136" s="4">
        <f t="shared" si="22"/>
        <v>0.713987869063245</v>
      </c>
      <c r="AD136" s="4">
        <f t="shared" si="22"/>
        <v>0.698917661175233</v>
      </c>
      <c r="AE136" s="4">
        <f t="shared" si="22"/>
        <v>0.637459568669879</v>
      </c>
      <c r="AF136" s="4">
        <f t="shared" si="22"/>
        <v>0.596592929074477</v>
      </c>
      <c r="AG136" s="4">
        <f t="shared" si="22"/>
        <v>0.565945876070079</v>
      </c>
      <c r="AH136" s="4">
        <f t="shared" si="17"/>
        <v>0.451104238497816</v>
      </c>
      <c r="AI136" s="4">
        <f t="shared" si="17"/>
        <v>0.386299815993387</v>
      </c>
      <c r="AJ136" s="4">
        <f t="shared" si="17"/>
        <v>0.355401965334779</v>
      </c>
    </row>
    <row r="137" spans="1:36">
      <c r="A137" t="str">
        <f>"post-semis_procurement_archetype_"&amp;TEXT(ROUND(Table2691617[[#This Row],[2016]],3),"0.0")</f>
        <v>post-semis_procurement_archetype_6.8</v>
      </c>
      <c r="B137" s="4">
        <f t="shared" si="24"/>
        <v>6.8</v>
      </c>
      <c r="C137" s="4">
        <f t="shared" si="23"/>
        <v>6.8</v>
      </c>
      <c r="D137" s="4">
        <f t="shared" si="23"/>
        <v>6.8</v>
      </c>
      <c r="E137" s="4">
        <f t="shared" si="23"/>
        <v>6.6272009132893</v>
      </c>
      <c r="F137" s="4">
        <f t="shared" si="23"/>
        <v>6.20944904330841</v>
      </c>
      <c r="G137" s="4">
        <f t="shared" si="23"/>
        <v>6.26785177586147</v>
      </c>
      <c r="H137" s="4">
        <f t="shared" si="23"/>
        <v>6.08652237653649</v>
      </c>
      <c r="I137" s="4">
        <f t="shared" si="23"/>
        <v>5.7357531783588</v>
      </c>
      <c r="J137" s="4">
        <f t="shared" si="23"/>
        <v>5.53870864593272</v>
      </c>
      <c r="K137" s="4">
        <f t="shared" si="23"/>
        <v>5.33643826766482</v>
      </c>
      <c r="L137" s="4">
        <f t="shared" si="23"/>
        <v>5.01692853270093</v>
      </c>
      <c r="M137" s="4">
        <f t="shared" si="23"/>
        <v>4.97814998318595</v>
      </c>
      <c r="N137" s="4">
        <f t="shared" si="23"/>
        <v>4.7163510546079</v>
      </c>
      <c r="O137" s="4">
        <f t="shared" si="23"/>
        <v>4.44488733568308</v>
      </c>
      <c r="P137" s="4">
        <f t="shared" si="23"/>
        <v>4.12396103600492</v>
      </c>
      <c r="Q137" s="4">
        <f t="shared" si="23"/>
        <v>3.60578192764689</v>
      </c>
      <c r="R137" s="4">
        <f t="shared" si="23"/>
        <v>2.90674185707835</v>
      </c>
      <c r="S137" s="4">
        <f t="shared" si="22"/>
        <v>2.68381660131243</v>
      </c>
      <c r="T137" s="4">
        <f t="shared" si="22"/>
        <v>2.19923984745998</v>
      </c>
      <c r="U137" s="4">
        <f t="shared" si="22"/>
        <v>1.71089846389405</v>
      </c>
      <c r="V137" s="4">
        <f t="shared" si="22"/>
        <v>1.61237438414065</v>
      </c>
      <c r="W137" s="4">
        <f t="shared" si="22"/>
        <v>1.31509439853546</v>
      </c>
      <c r="X137" s="4">
        <f t="shared" si="22"/>
        <v>1.16424159853049</v>
      </c>
      <c r="Y137" s="4">
        <f t="shared" si="22"/>
        <v>1.00732938954269</v>
      </c>
      <c r="Z137" s="4">
        <f t="shared" si="22"/>
        <v>0.982810156812858</v>
      </c>
      <c r="AA137" s="4">
        <f t="shared" si="22"/>
        <v>0.907785940101189</v>
      </c>
      <c r="AB137" s="4">
        <f t="shared" si="22"/>
        <v>0.798234646539379</v>
      </c>
      <c r="AC137" s="4">
        <f t="shared" si="22"/>
        <v>0.708508756338077</v>
      </c>
      <c r="AD137" s="4">
        <f t="shared" si="22"/>
        <v>0.693668817869335</v>
      </c>
      <c r="AE137" s="4">
        <f t="shared" si="22"/>
        <v>0.633149791326166</v>
      </c>
      <c r="AF137" s="4">
        <f t="shared" si="22"/>
        <v>0.592907584879735</v>
      </c>
      <c r="AG137" s="4">
        <f t="shared" si="22"/>
        <v>0.562728812017862</v>
      </c>
      <c r="AH137" s="4">
        <f t="shared" si="17"/>
        <v>0.449641929083913</v>
      </c>
      <c r="AI137" s="4">
        <f t="shared" si="17"/>
        <v>0.385827703718577</v>
      </c>
      <c r="AJ137" s="4">
        <f t="shared" si="17"/>
        <v>0.355401965334779</v>
      </c>
    </row>
    <row r="138" spans="1:36">
      <c r="A138" t="str">
        <f>"post-semis_procurement_archetype_"&amp;TEXT(ROUND(Table2691617[[#This Row],[2016]],3),"0.0")</f>
        <v>post-semis_procurement_archetype_6.7</v>
      </c>
      <c r="B138" s="4">
        <f t="shared" si="24"/>
        <v>6.7</v>
      </c>
      <c r="C138" s="4">
        <f t="shared" si="23"/>
        <v>6.7</v>
      </c>
      <c r="D138" s="4">
        <f t="shared" si="23"/>
        <v>6.7</v>
      </c>
      <c r="E138" s="4">
        <f t="shared" si="23"/>
        <v>6.52988221452456</v>
      </c>
      <c r="F138" s="4">
        <f t="shared" si="23"/>
        <v>6.11861254665671</v>
      </c>
      <c r="G138" s="4">
        <f t="shared" si="23"/>
        <v>6.17610905150963</v>
      </c>
      <c r="H138" s="4">
        <f t="shared" si="23"/>
        <v>5.99759331718516</v>
      </c>
      <c r="I138" s="4">
        <f t="shared" si="23"/>
        <v>5.65226695960499</v>
      </c>
      <c r="J138" s="4">
        <f t="shared" si="23"/>
        <v>5.4582799418814</v>
      </c>
      <c r="K138" s="4">
        <f t="shared" si="23"/>
        <v>5.25914816709474</v>
      </c>
      <c r="L138" s="4">
        <f t="shared" si="23"/>
        <v>4.94459622365245</v>
      </c>
      <c r="M138" s="4">
        <f t="shared" si="23"/>
        <v>4.90641939590982</v>
      </c>
      <c r="N138" s="4">
        <f t="shared" si="23"/>
        <v>4.6486827676827</v>
      </c>
      <c r="O138" s="4">
        <f t="shared" si="23"/>
        <v>4.38143131641933</v>
      </c>
      <c r="P138" s="4">
        <f t="shared" si="23"/>
        <v>4.06548478891551</v>
      </c>
      <c r="Q138" s="4">
        <f t="shared" si="23"/>
        <v>3.55534619923018</v>
      </c>
      <c r="R138" s="4">
        <f t="shared" si="23"/>
        <v>2.86715304365632</v>
      </c>
      <c r="S138" s="4">
        <f t="shared" si="22"/>
        <v>2.64768689045299</v>
      </c>
      <c r="T138" s="4">
        <f t="shared" si="22"/>
        <v>2.17062925185406</v>
      </c>
      <c r="U138" s="4">
        <f t="shared" si="22"/>
        <v>1.68986539881741</v>
      </c>
      <c r="V138" s="4">
        <f t="shared" si="22"/>
        <v>1.59287010455573</v>
      </c>
      <c r="W138" s="4">
        <f t="shared" si="22"/>
        <v>1.30020297430639</v>
      </c>
      <c r="X138" s="4">
        <f t="shared" si="22"/>
        <v>1.1516909378245</v>
      </c>
      <c r="Y138" s="4">
        <f t="shared" si="22"/>
        <v>0.997213515430736</v>
      </c>
      <c r="Z138" s="4">
        <f t="shared" si="22"/>
        <v>0.97307474448608</v>
      </c>
      <c r="AA138" s="4">
        <f t="shared" si="22"/>
        <v>0.899214668909484</v>
      </c>
      <c r="AB138" s="4">
        <f t="shared" si="22"/>
        <v>0.79136326869979</v>
      </c>
      <c r="AC138" s="4">
        <f t="shared" si="22"/>
        <v>0.703029643612908</v>
      </c>
      <c r="AD138" s="4">
        <f t="shared" si="22"/>
        <v>0.688419974563437</v>
      </c>
      <c r="AE138" s="4">
        <f t="shared" si="22"/>
        <v>0.628840013982453</v>
      </c>
      <c r="AF138" s="4">
        <f t="shared" si="22"/>
        <v>0.589222240684994</v>
      </c>
      <c r="AG138" s="4">
        <f t="shared" si="22"/>
        <v>0.559511747965645</v>
      </c>
      <c r="AH138" s="4">
        <f t="shared" si="17"/>
        <v>0.44817961967001</v>
      </c>
      <c r="AI138" s="4">
        <f t="shared" si="17"/>
        <v>0.385355591443767</v>
      </c>
      <c r="AJ138" s="4">
        <f t="shared" si="17"/>
        <v>0.355401965334779</v>
      </c>
    </row>
    <row r="139" spans="1:36">
      <c r="A139" t="str">
        <f>"post-semis_procurement_archetype_"&amp;TEXT(ROUND(Table2691617[[#This Row],[2016]],3),"0.0")</f>
        <v>post-semis_procurement_archetype_6.6</v>
      </c>
      <c r="B139" s="4">
        <f t="shared" si="24"/>
        <v>6.6</v>
      </c>
      <c r="C139" s="4">
        <f t="shared" si="23"/>
        <v>6.6</v>
      </c>
      <c r="D139" s="4">
        <f t="shared" si="23"/>
        <v>6.6</v>
      </c>
      <c r="E139" s="4">
        <f t="shared" si="23"/>
        <v>6.43256351575981</v>
      </c>
      <c r="F139" s="4">
        <f t="shared" si="23"/>
        <v>6.02777605000502</v>
      </c>
      <c r="G139" s="4">
        <f t="shared" si="23"/>
        <v>6.0843663271578</v>
      </c>
      <c r="H139" s="4">
        <f t="shared" si="23"/>
        <v>5.90866425783384</v>
      </c>
      <c r="I139" s="4">
        <f t="shared" si="23"/>
        <v>5.56878074085119</v>
      </c>
      <c r="J139" s="4">
        <f t="shared" si="23"/>
        <v>5.37785123783008</v>
      </c>
      <c r="K139" s="4">
        <f t="shared" si="23"/>
        <v>5.18185806652466</v>
      </c>
      <c r="L139" s="4">
        <f t="shared" si="23"/>
        <v>4.87226391460397</v>
      </c>
      <c r="M139" s="4">
        <f t="shared" si="23"/>
        <v>4.83468880863369</v>
      </c>
      <c r="N139" s="4">
        <f t="shared" si="23"/>
        <v>4.5810144807575</v>
      </c>
      <c r="O139" s="4">
        <f t="shared" si="23"/>
        <v>4.31797529715558</v>
      </c>
      <c r="P139" s="4">
        <f t="shared" si="23"/>
        <v>4.0070085418261</v>
      </c>
      <c r="Q139" s="4">
        <f t="shared" si="23"/>
        <v>3.50491047081348</v>
      </c>
      <c r="R139" s="4">
        <f t="shared" si="23"/>
        <v>2.82756423023429</v>
      </c>
      <c r="S139" s="4">
        <f t="shared" si="22"/>
        <v>2.61155717959355</v>
      </c>
      <c r="T139" s="4">
        <f t="shared" si="22"/>
        <v>2.14201865624814</v>
      </c>
      <c r="U139" s="4">
        <f t="shared" si="22"/>
        <v>1.66883233374076</v>
      </c>
      <c r="V139" s="4">
        <f t="shared" si="22"/>
        <v>1.5733658249708</v>
      </c>
      <c r="W139" s="4">
        <f t="shared" si="22"/>
        <v>1.28531155007731</v>
      </c>
      <c r="X139" s="4">
        <f t="shared" si="22"/>
        <v>1.13914027711851</v>
      </c>
      <c r="Y139" s="4">
        <f t="shared" si="22"/>
        <v>0.987097641318786</v>
      </c>
      <c r="Z139" s="4">
        <f t="shared" si="22"/>
        <v>0.963339332159302</v>
      </c>
      <c r="AA139" s="4">
        <f t="shared" si="22"/>
        <v>0.89064339771778</v>
      </c>
      <c r="AB139" s="4">
        <f t="shared" si="22"/>
        <v>0.784491890860201</v>
      </c>
      <c r="AC139" s="4">
        <f t="shared" si="22"/>
        <v>0.69755053088774</v>
      </c>
      <c r="AD139" s="4">
        <f t="shared" si="22"/>
        <v>0.683171131257539</v>
      </c>
      <c r="AE139" s="4">
        <f t="shared" si="22"/>
        <v>0.62453023663874</v>
      </c>
      <c r="AF139" s="4">
        <f t="shared" si="22"/>
        <v>0.585536896490252</v>
      </c>
      <c r="AG139" s="4">
        <f t="shared" si="22"/>
        <v>0.556294683913428</v>
      </c>
      <c r="AH139" s="4">
        <f t="shared" si="17"/>
        <v>0.446717310256106</v>
      </c>
      <c r="AI139" s="4">
        <f t="shared" si="17"/>
        <v>0.384883479168958</v>
      </c>
      <c r="AJ139" s="4">
        <f t="shared" si="17"/>
        <v>0.355401965334779</v>
      </c>
    </row>
    <row r="140" spans="1:36">
      <c r="A140" t="str">
        <f>"post-semis_procurement_archetype_"&amp;TEXT(ROUND(Table2691617[[#This Row],[2016]],3),"0.0")</f>
        <v>post-semis_procurement_archetype_6.5</v>
      </c>
      <c r="B140" s="4">
        <f t="shared" si="24"/>
        <v>6.5</v>
      </c>
      <c r="C140" s="4">
        <f t="shared" si="23"/>
        <v>6.5</v>
      </c>
      <c r="D140" s="4">
        <f t="shared" si="23"/>
        <v>6.5</v>
      </c>
      <c r="E140" s="4">
        <f t="shared" si="23"/>
        <v>6.33524481699507</v>
      </c>
      <c r="F140" s="4">
        <f t="shared" si="23"/>
        <v>5.93693955335333</v>
      </c>
      <c r="G140" s="4">
        <f t="shared" si="23"/>
        <v>5.99262360280596</v>
      </c>
      <c r="H140" s="4">
        <f t="shared" si="23"/>
        <v>5.81973519848251</v>
      </c>
      <c r="I140" s="4">
        <f t="shared" si="23"/>
        <v>5.48529452209738</v>
      </c>
      <c r="J140" s="4">
        <f t="shared" si="23"/>
        <v>5.29742253377877</v>
      </c>
      <c r="K140" s="4">
        <f t="shared" si="23"/>
        <v>5.10456796595459</v>
      </c>
      <c r="L140" s="4">
        <f t="shared" si="23"/>
        <v>4.79993160555549</v>
      </c>
      <c r="M140" s="4">
        <f t="shared" si="23"/>
        <v>4.76295822135756</v>
      </c>
      <c r="N140" s="4">
        <f t="shared" si="23"/>
        <v>4.51334619383229</v>
      </c>
      <c r="O140" s="4">
        <f t="shared" si="23"/>
        <v>4.25451927789184</v>
      </c>
      <c r="P140" s="4">
        <f t="shared" si="23"/>
        <v>3.94853229473669</v>
      </c>
      <c r="Q140" s="4">
        <f t="shared" si="23"/>
        <v>3.45447474239677</v>
      </c>
      <c r="R140" s="4">
        <f t="shared" ref="R140:AG155" si="25">(($B140-$AJ$2)*((R$2-$AJ$2)/($B$2-$AJ$2)))+$AJ$2</f>
        <v>2.78797541681226</v>
      </c>
      <c r="S140" s="4">
        <f t="shared" si="25"/>
        <v>2.57542746873411</v>
      </c>
      <c r="T140" s="4">
        <f t="shared" si="25"/>
        <v>2.11340806064222</v>
      </c>
      <c r="U140" s="4">
        <f t="shared" si="25"/>
        <v>1.64779926866412</v>
      </c>
      <c r="V140" s="4">
        <f t="shared" si="25"/>
        <v>1.55386154538587</v>
      </c>
      <c r="W140" s="4">
        <f t="shared" si="25"/>
        <v>1.27042012584824</v>
      </c>
      <c r="X140" s="4">
        <f t="shared" si="25"/>
        <v>1.12658961641252</v>
      </c>
      <c r="Y140" s="4">
        <f t="shared" si="25"/>
        <v>0.976981767206837</v>
      </c>
      <c r="Z140" s="4">
        <f t="shared" si="25"/>
        <v>0.953603919832524</v>
      </c>
      <c r="AA140" s="4">
        <f t="shared" si="25"/>
        <v>0.882072126526076</v>
      </c>
      <c r="AB140" s="4">
        <f t="shared" si="25"/>
        <v>0.777620513020611</v>
      </c>
      <c r="AC140" s="4">
        <f t="shared" si="25"/>
        <v>0.692071418162571</v>
      </c>
      <c r="AD140" s="4">
        <f t="shared" si="25"/>
        <v>0.677922287951641</v>
      </c>
      <c r="AE140" s="4">
        <f t="shared" si="25"/>
        <v>0.620220459295026</v>
      </c>
      <c r="AF140" s="4">
        <f t="shared" si="25"/>
        <v>0.581851552295511</v>
      </c>
      <c r="AG140" s="4">
        <f t="shared" si="25"/>
        <v>0.553077619861212</v>
      </c>
      <c r="AH140" s="4">
        <f t="shared" si="17"/>
        <v>0.445255000842203</v>
      </c>
      <c r="AI140" s="4">
        <f t="shared" si="17"/>
        <v>0.384411366894148</v>
      </c>
      <c r="AJ140" s="4">
        <f t="shared" si="17"/>
        <v>0.355401965334779</v>
      </c>
    </row>
    <row r="141" spans="1:36">
      <c r="A141" t="str">
        <f>"post-semis_procurement_archetype_"&amp;TEXT(ROUND(Table2691617[[#This Row],[2016]],3),"0.0")</f>
        <v>post-semis_procurement_archetype_6.4</v>
      </c>
      <c r="B141" s="4">
        <f t="shared" si="24"/>
        <v>6.4</v>
      </c>
      <c r="C141" s="4">
        <f t="shared" ref="C141:R156" si="26">(($B141-$AJ$2)*((C$2-$AJ$2)/($B$2-$AJ$2)))+$AJ$2</f>
        <v>6.4</v>
      </c>
      <c r="D141" s="4">
        <f t="shared" si="26"/>
        <v>6.4</v>
      </c>
      <c r="E141" s="4">
        <f t="shared" si="26"/>
        <v>6.23792611823032</v>
      </c>
      <c r="F141" s="4">
        <f t="shared" si="26"/>
        <v>5.84610305670164</v>
      </c>
      <c r="G141" s="4">
        <f t="shared" si="26"/>
        <v>5.90088087845413</v>
      </c>
      <c r="H141" s="4">
        <f t="shared" si="26"/>
        <v>5.73080613913119</v>
      </c>
      <c r="I141" s="4">
        <f t="shared" si="26"/>
        <v>5.40180830334358</v>
      </c>
      <c r="J141" s="4">
        <f t="shared" si="26"/>
        <v>5.21699382972745</v>
      </c>
      <c r="K141" s="4">
        <f t="shared" si="26"/>
        <v>5.02727786538451</v>
      </c>
      <c r="L141" s="4">
        <f t="shared" si="26"/>
        <v>4.72759929650702</v>
      </c>
      <c r="M141" s="4">
        <f t="shared" si="26"/>
        <v>4.69122763408143</v>
      </c>
      <c r="N141" s="4">
        <f t="shared" si="26"/>
        <v>4.44567790690709</v>
      </c>
      <c r="O141" s="4">
        <f t="shared" si="26"/>
        <v>4.19106325862809</v>
      </c>
      <c r="P141" s="4">
        <f t="shared" si="26"/>
        <v>3.89005604764728</v>
      </c>
      <c r="Q141" s="4">
        <f t="shared" si="26"/>
        <v>3.40403901398007</v>
      </c>
      <c r="R141" s="4">
        <f t="shared" si="26"/>
        <v>2.74838660339023</v>
      </c>
      <c r="S141" s="4">
        <f t="shared" si="25"/>
        <v>2.53929775787467</v>
      </c>
      <c r="T141" s="4">
        <f t="shared" si="25"/>
        <v>2.0847974650363</v>
      </c>
      <c r="U141" s="4">
        <f t="shared" si="25"/>
        <v>1.62676620358748</v>
      </c>
      <c r="V141" s="4">
        <f t="shared" si="25"/>
        <v>1.53435726580094</v>
      </c>
      <c r="W141" s="4">
        <f t="shared" si="25"/>
        <v>1.25552870161916</v>
      </c>
      <c r="X141" s="4">
        <f t="shared" si="25"/>
        <v>1.11403895570653</v>
      </c>
      <c r="Y141" s="4">
        <f t="shared" si="25"/>
        <v>0.966865893094887</v>
      </c>
      <c r="Z141" s="4">
        <f t="shared" si="25"/>
        <v>0.943868507505746</v>
      </c>
      <c r="AA141" s="4">
        <f t="shared" si="25"/>
        <v>0.873500855334371</v>
      </c>
      <c r="AB141" s="4">
        <f t="shared" si="25"/>
        <v>0.770749135181022</v>
      </c>
      <c r="AC141" s="4">
        <f t="shared" si="25"/>
        <v>0.686592305437403</v>
      </c>
      <c r="AD141" s="4">
        <f t="shared" si="25"/>
        <v>0.672673444645743</v>
      </c>
      <c r="AE141" s="4">
        <f t="shared" si="25"/>
        <v>0.615910681951313</v>
      </c>
      <c r="AF141" s="4">
        <f t="shared" si="25"/>
        <v>0.578166208100769</v>
      </c>
      <c r="AG141" s="4">
        <f t="shared" si="25"/>
        <v>0.549860555808995</v>
      </c>
      <c r="AH141" s="4">
        <f t="shared" si="17"/>
        <v>0.4437926914283</v>
      </c>
      <c r="AI141" s="4">
        <f t="shared" si="17"/>
        <v>0.383939254619338</v>
      </c>
      <c r="AJ141" s="4">
        <f t="shared" si="17"/>
        <v>0.355401965334779</v>
      </c>
    </row>
    <row r="142" spans="1:36">
      <c r="A142" t="str">
        <f>"post-semis_procurement_archetype_"&amp;TEXT(ROUND(Table2691617[[#This Row],[2016]],3),"0.0")</f>
        <v>post-semis_procurement_archetype_6.3</v>
      </c>
      <c r="B142" s="4">
        <f t="shared" si="24"/>
        <v>6.3</v>
      </c>
      <c r="C142" s="4">
        <f t="shared" si="26"/>
        <v>6.3</v>
      </c>
      <c r="D142" s="4">
        <f t="shared" si="26"/>
        <v>6.3</v>
      </c>
      <c r="E142" s="4">
        <f t="shared" si="26"/>
        <v>6.14060741946558</v>
      </c>
      <c r="F142" s="4">
        <f t="shared" si="26"/>
        <v>5.75526656004995</v>
      </c>
      <c r="G142" s="4">
        <f t="shared" si="26"/>
        <v>5.80913815410229</v>
      </c>
      <c r="H142" s="4">
        <f t="shared" si="26"/>
        <v>5.64187707977986</v>
      </c>
      <c r="I142" s="4">
        <f t="shared" si="26"/>
        <v>5.31832208458977</v>
      </c>
      <c r="J142" s="4">
        <f t="shared" si="26"/>
        <v>5.13656512567613</v>
      </c>
      <c r="K142" s="4">
        <f t="shared" si="26"/>
        <v>4.94998776481443</v>
      </c>
      <c r="L142" s="4">
        <f t="shared" si="26"/>
        <v>4.65526698745854</v>
      </c>
      <c r="M142" s="4">
        <f t="shared" si="26"/>
        <v>4.61949704680531</v>
      </c>
      <c r="N142" s="4">
        <f t="shared" si="26"/>
        <v>4.37800961998189</v>
      </c>
      <c r="O142" s="4">
        <f t="shared" si="26"/>
        <v>4.12760723936434</v>
      </c>
      <c r="P142" s="4">
        <f t="shared" si="26"/>
        <v>3.83157980055787</v>
      </c>
      <c r="Q142" s="4">
        <f t="shared" si="26"/>
        <v>3.35360328556336</v>
      </c>
      <c r="R142" s="4">
        <f t="shared" si="26"/>
        <v>2.70879778996819</v>
      </c>
      <c r="S142" s="4">
        <f t="shared" si="25"/>
        <v>2.50316804701523</v>
      </c>
      <c r="T142" s="4">
        <f t="shared" si="25"/>
        <v>2.05618686943037</v>
      </c>
      <c r="U142" s="4">
        <f t="shared" si="25"/>
        <v>1.60573313851083</v>
      </c>
      <c r="V142" s="4">
        <f t="shared" si="25"/>
        <v>1.51485298621601</v>
      </c>
      <c r="W142" s="4">
        <f t="shared" si="25"/>
        <v>1.24063727739008</v>
      </c>
      <c r="X142" s="4">
        <f t="shared" si="25"/>
        <v>1.10148829500054</v>
      </c>
      <c r="Y142" s="4">
        <f t="shared" si="25"/>
        <v>0.956750018982938</v>
      </c>
      <c r="Z142" s="4">
        <f t="shared" si="25"/>
        <v>0.934133095178968</v>
      </c>
      <c r="AA142" s="4">
        <f t="shared" si="25"/>
        <v>0.864929584142667</v>
      </c>
      <c r="AB142" s="4">
        <f t="shared" si="25"/>
        <v>0.763877757341432</v>
      </c>
      <c r="AC142" s="4">
        <f t="shared" si="25"/>
        <v>0.681113192712234</v>
      </c>
      <c r="AD142" s="4">
        <f t="shared" si="25"/>
        <v>0.667424601339845</v>
      </c>
      <c r="AE142" s="4">
        <f t="shared" si="25"/>
        <v>0.6116009046076</v>
      </c>
      <c r="AF142" s="4">
        <f t="shared" si="25"/>
        <v>0.574480863906028</v>
      </c>
      <c r="AG142" s="4">
        <f t="shared" si="25"/>
        <v>0.546643491756778</v>
      </c>
      <c r="AH142" s="4">
        <f t="shared" si="17"/>
        <v>0.442330382014397</v>
      </c>
      <c r="AI142" s="4">
        <f t="shared" si="17"/>
        <v>0.383467142344529</v>
      </c>
      <c r="AJ142" s="4">
        <f t="shared" si="17"/>
        <v>0.355401965334779</v>
      </c>
    </row>
    <row r="143" spans="1:36">
      <c r="A143" t="str">
        <f>"post-semis_procurement_archetype_"&amp;TEXT(ROUND(Table2691617[[#This Row],[2016]],3),"0.0")</f>
        <v>post-semis_procurement_archetype_6.2</v>
      </c>
      <c r="B143" s="4">
        <f t="shared" si="24"/>
        <v>6.2</v>
      </c>
      <c r="C143" s="4">
        <f t="shared" si="26"/>
        <v>6.2</v>
      </c>
      <c r="D143" s="4">
        <f t="shared" si="26"/>
        <v>6.2</v>
      </c>
      <c r="E143" s="4">
        <f t="shared" si="26"/>
        <v>6.04328872070083</v>
      </c>
      <c r="F143" s="4">
        <f t="shared" si="26"/>
        <v>5.66443006339826</v>
      </c>
      <c r="G143" s="4">
        <f t="shared" si="26"/>
        <v>5.71739542975046</v>
      </c>
      <c r="H143" s="4">
        <f t="shared" si="26"/>
        <v>5.55294802042854</v>
      </c>
      <c r="I143" s="4">
        <f t="shared" si="26"/>
        <v>5.23483586583597</v>
      </c>
      <c r="J143" s="4">
        <f t="shared" si="26"/>
        <v>5.05613642162481</v>
      </c>
      <c r="K143" s="4">
        <f t="shared" si="26"/>
        <v>4.87269766424435</v>
      </c>
      <c r="L143" s="4">
        <f t="shared" si="26"/>
        <v>4.58293467841006</v>
      </c>
      <c r="M143" s="4">
        <f t="shared" si="26"/>
        <v>4.54776645952918</v>
      </c>
      <c r="N143" s="4">
        <f t="shared" si="26"/>
        <v>4.31034133305669</v>
      </c>
      <c r="O143" s="4">
        <f t="shared" si="26"/>
        <v>4.06415122010059</v>
      </c>
      <c r="P143" s="4">
        <f t="shared" si="26"/>
        <v>3.77310355346846</v>
      </c>
      <c r="Q143" s="4">
        <f t="shared" si="26"/>
        <v>3.30316755714665</v>
      </c>
      <c r="R143" s="4">
        <f t="shared" si="26"/>
        <v>2.66920897654616</v>
      </c>
      <c r="S143" s="4">
        <f t="shared" si="25"/>
        <v>2.46703833615579</v>
      </c>
      <c r="T143" s="4">
        <f t="shared" si="25"/>
        <v>2.02757627382445</v>
      </c>
      <c r="U143" s="4">
        <f t="shared" si="25"/>
        <v>1.58470007343419</v>
      </c>
      <c r="V143" s="4">
        <f t="shared" si="25"/>
        <v>1.49534870663109</v>
      </c>
      <c r="W143" s="4">
        <f t="shared" si="25"/>
        <v>1.22574585316101</v>
      </c>
      <c r="X143" s="4">
        <f t="shared" si="25"/>
        <v>1.08893763429455</v>
      </c>
      <c r="Y143" s="4">
        <f t="shared" si="25"/>
        <v>0.946634144870988</v>
      </c>
      <c r="Z143" s="4">
        <f t="shared" si="25"/>
        <v>0.92439768285219</v>
      </c>
      <c r="AA143" s="4">
        <f t="shared" si="25"/>
        <v>0.856358312950962</v>
      </c>
      <c r="AB143" s="4">
        <f t="shared" si="25"/>
        <v>0.757006379501843</v>
      </c>
      <c r="AC143" s="4">
        <f t="shared" si="25"/>
        <v>0.675634079987066</v>
      </c>
      <c r="AD143" s="4">
        <f t="shared" si="25"/>
        <v>0.662175758033947</v>
      </c>
      <c r="AE143" s="4">
        <f t="shared" si="25"/>
        <v>0.607291127263887</v>
      </c>
      <c r="AF143" s="4">
        <f t="shared" si="25"/>
        <v>0.570795519711287</v>
      </c>
      <c r="AG143" s="4">
        <f t="shared" si="25"/>
        <v>0.543426427704561</v>
      </c>
      <c r="AH143" s="4">
        <f t="shared" si="17"/>
        <v>0.440868072600493</v>
      </c>
      <c r="AI143" s="4">
        <f t="shared" si="17"/>
        <v>0.382995030069719</v>
      </c>
      <c r="AJ143" s="4">
        <f t="shared" si="17"/>
        <v>0.355401965334779</v>
      </c>
    </row>
    <row r="144" spans="1:36">
      <c r="A144" t="str">
        <f>"post-semis_procurement_archetype_"&amp;TEXT(ROUND(Table2691617[[#This Row],[2016]],3),"0.0")</f>
        <v>post-semis_procurement_archetype_6.1</v>
      </c>
      <c r="B144" s="4">
        <f t="shared" si="24"/>
        <v>6.1</v>
      </c>
      <c r="C144" s="4">
        <f t="shared" si="26"/>
        <v>6.1</v>
      </c>
      <c r="D144" s="4">
        <f t="shared" si="26"/>
        <v>6.1</v>
      </c>
      <c r="E144" s="4">
        <f t="shared" si="26"/>
        <v>5.94597002193609</v>
      </c>
      <c r="F144" s="4">
        <f t="shared" si="26"/>
        <v>5.57359356674657</v>
      </c>
      <c r="G144" s="4">
        <f t="shared" si="26"/>
        <v>5.62565270539862</v>
      </c>
      <c r="H144" s="4">
        <f t="shared" si="26"/>
        <v>5.46401896107722</v>
      </c>
      <c r="I144" s="4">
        <f t="shared" si="26"/>
        <v>5.15134964708216</v>
      </c>
      <c r="J144" s="4">
        <f t="shared" si="26"/>
        <v>4.97570771757349</v>
      </c>
      <c r="K144" s="4">
        <f t="shared" si="26"/>
        <v>4.79540756367427</v>
      </c>
      <c r="L144" s="4">
        <f t="shared" si="26"/>
        <v>4.51060236936159</v>
      </c>
      <c r="M144" s="4">
        <f t="shared" si="26"/>
        <v>4.47603587225305</v>
      </c>
      <c r="N144" s="4">
        <f t="shared" si="26"/>
        <v>4.24267304613149</v>
      </c>
      <c r="O144" s="4">
        <f t="shared" si="26"/>
        <v>4.00069520083684</v>
      </c>
      <c r="P144" s="4">
        <f t="shared" si="26"/>
        <v>3.71462730637905</v>
      </c>
      <c r="Q144" s="4">
        <f t="shared" si="26"/>
        <v>3.25273182872995</v>
      </c>
      <c r="R144" s="4">
        <f t="shared" si="26"/>
        <v>2.62962016312413</v>
      </c>
      <c r="S144" s="4">
        <f t="shared" si="25"/>
        <v>2.43090862529635</v>
      </c>
      <c r="T144" s="4">
        <f t="shared" si="25"/>
        <v>1.99896567821853</v>
      </c>
      <c r="U144" s="4">
        <f t="shared" si="25"/>
        <v>1.56366700835754</v>
      </c>
      <c r="V144" s="4">
        <f t="shared" si="25"/>
        <v>1.47584442704616</v>
      </c>
      <c r="W144" s="4">
        <f t="shared" si="25"/>
        <v>1.21085442893193</v>
      </c>
      <c r="X144" s="4">
        <f t="shared" si="25"/>
        <v>1.07638697358856</v>
      </c>
      <c r="Y144" s="4">
        <f t="shared" si="25"/>
        <v>0.936518270759039</v>
      </c>
      <c r="Z144" s="4">
        <f t="shared" si="25"/>
        <v>0.914662270525413</v>
      </c>
      <c r="AA144" s="4">
        <f t="shared" si="25"/>
        <v>0.847787041759258</v>
      </c>
      <c r="AB144" s="4">
        <f t="shared" si="25"/>
        <v>0.750135001662254</v>
      </c>
      <c r="AC144" s="4">
        <f t="shared" si="25"/>
        <v>0.670154967261897</v>
      </c>
      <c r="AD144" s="4">
        <f t="shared" si="25"/>
        <v>0.656926914728049</v>
      </c>
      <c r="AE144" s="4">
        <f t="shared" si="25"/>
        <v>0.602981349920174</v>
      </c>
      <c r="AF144" s="4">
        <f t="shared" si="25"/>
        <v>0.567110175516545</v>
      </c>
      <c r="AG144" s="4">
        <f t="shared" si="25"/>
        <v>0.540209363652345</v>
      </c>
      <c r="AH144" s="4">
        <f t="shared" si="17"/>
        <v>0.43940576318659</v>
      </c>
      <c r="AI144" s="4">
        <f t="shared" si="17"/>
        <v>0.382522917794909</v>
      </c>
      <c r="AJ144" s="4">
        <f t="shared" si="17"/>
        <v>0.355401965334779</v>
      </c>
    </row>
    <row r="145" spans="1:36">
      <c r="A145" t="str">
        <f>"post-semis_procurement_archetype_"&amp;TEXT(ROUND(Table2691617[[#This Row],[2016]],3),"0.0")</f>
        <v>post-semis_procurement_archetype_6.0</v>
      </c>
      <c r="B145" s="4">
        <f t="shared" si="24"/>
        <v>6</v>
      </c>
      <c r="C145" s="4">
        <f t="shared" si="26"/>
        <v>6</v>
      </c>
      <c r="D145" s="4">
        <f t="shared" si="26"/>
        <v>6</v>
      </c>
      <c r="E145" s="4">
        <f t="shared" si="26"/>
        <v>5.84865132317134</v>
      </c>
      <c r="F145" s="4">
        <f t="shared" si="26"/>
        <v>5.48275707009488</v>
      </c>
      <c r="G145" s="4">
        <f t="shared" si="26"/>
        <v>5.53390998104679</v>
      </c>
      <c r="H145" s="4">
        <f t="shared" si="26"/>
        <v>5.37508990172589</v>
      </c>
      <c r="I145" s="4">
        <f t="shared" si="26"/>
        <v>5.06786342832836</v>
      </c>
      <c r="J145" s="4">
        <f t="shared" si="26"/>
        <v>4.89527901352218</v>
      </c>
      <c r="K145" s="4">
        <f t="shared" si="26"/>
        <v>4.71811746310419</v>
      </c>
      <c r="L145" s="4">
        <f t="shared" si="26"/>
        <v>4.43827006031311</v>
      </c>
      <c r="M145" s="4">
        <f t="shared" si="26"/>
        <v>4.40430528497692</v>
      </c>
      <c r="N145" s="4">
        <f t="shared" si="26"/>
        <v>4.17500475920629</v>
      </c>
      <c r="O145" s="4">
        <f t="shared" si="26"/>
        <v>3.93723918157309</v>
      </c>
      <c r="P145" s="4">
        <f t="shared" si="26"/>
        <v>3.65615105928963</v>
      </c>
      <c r="Q145" s="4">
        <f t="shared" si="26"/>
        <v>3.20229610031324</v>
      </c>
      <c r="R145" s="4">
        <f t="shared" si="26"/>
        <v>2.5900313497021</v>
      </c>
      <c r="S145" s="4">
        <f t="shared" si="25"/>
        <v>2.39477891443691</v>
      </c>
      <c r="T145" s="4">
        <f t="shared" si="25"/>
        <v>1.97035508261261</v>
      </c>
      <c r="U145" s="4">
        <f t="shared" si="25"/>
        <v>1.5426339432809</v>
      </c>
      <c r="V145" s="4">
        <f t="shared" si="25"/>
        <v>1.45634014746123</v>
      </c>
      <c r="W145" s="4">
        <f t="shared" si="25"/>
        <v>1.19596300470286</v>
      </c>
      <c r="X145" s="4">
        <f t="shared" si="25"/>
        <v>1.06383631288257</v>
      </c>
      <c r="Y145" s="4">
        <f t="shared" si="25"/>
        <v>0.926402396647089</v>
      </c>
      <c r="Z145" s="4">
        <f t="shared" si="25"/>
        <v>0.904926858198635</v>
      </c>
      <c r="AA145" s="4">
        <f t="shared" si="25"/>
        <v>0.839215770567553</v>
      </c>
      <c r="AB145" s="4">
        <f t="shared" si="25"/>
        <v>0.743263623822664</v>
      </c>
      <c r="AC145" s="4">
        <f t="shared" si="25"/>
        <v>0.664675854536729</v>
      </c>
      <c r="AD145" s="4">
        <f t="shared" si="25"/>
        <v>0.651678071422151</v>
      </c>
      <c r="AE145" s="4">
        <f t="shared" si="25"/>
        <v>0.59867157257646</v>
      </c>
      <c r="AF145" s="4">
        <f t="shared" si="25"/>
        <v>0.563424831321804</v>
      </c>
      <c r="AG145" s="4">
        <f t="shared" si="25"/>
        <v>0.536992299600128</v>
      </c>
      <c r="AH145" s="4">
        <f t="shared" si="17"/>
        <v>0.437943453772687</v>
      </c>
      <c r="AI145" s="4">
        <f t="shared" si="17"/>
        <v>0.3820508055201</v>
      </c>
      <c r="AJ145" s="4">
        <f t="shared" si="17"/>
        <v>0.355401965334779</v>
      </c>
    </row>
    <row r="146" spans="1:36">
      <c r="A146" t="str">
        <f>"post-semis_procurement_archetype_"&amp;TEXT(ROUND(Table2691617[[#This Row],[2016]],3),"0.0")</f>
        <v>post-semis_procurement_archetype_5.9</v>
      </c>
      <c r="B146" s="4">
        <f t="shared" si="24"/>
        <v>5.9</v>
      </c>
      <c r="C146" s="4">
        <f t="shared" si="26"/>
        <v>5.9</v>
      </c>
      <c r="D146" s="4">
        <f t="shared" si="26"/>
        <v>5.9</v>
      </c>
      <c r="E146" s="4">
        <f t="shared" si="26"/>
        <v>5.7513326244066</v>
      </c>
      <c r="F146" s="4">
        <f t="shared" si="26"/>
        <v>5.39192057344319</v>
      </c>
      <c r="G146" s="4">
        <f t="shared" si="26"/>
        <v>5.44216725669495</v>
      </c>
      <c r="H146" s="4">
        <f t="shared" si="26"/>
        <v>5.28616084237457</v>
      </c>
      <c r="I146" s="4">
        <f t="shared" si="26"/>
        <v>4.98437720957455</v>
      </c>
      <c r="J146" s="4">
        <f t="shared" si="26"/>
        <v>4.81485030947086</v>
      </c>
      <c r="K146" s="4">
        <f t="shared" si="26"/>
        <v>4.64082736253412</v>
      </c>
      <c r="L146" s="4">
        <f t="shared" si="26"/>
        <v>4.36593775126463</v>
      </c>
      <c r="M146" s="4">
        <f t="shared" si="26"/>
        <v>4.33257469770079</v>
      </c>
      <c r="N146" s="4">
        <f t="shared" si="26"/>
        <v>4.10733647228109</v>
      </c>
      <c r="O146" s="4">
        <f t="shared" si="26"/>
        <v>3.87378316230935</v>
      </c>
      <c r="P146" s="4">
        <f t="shared" si="26"/>
        <v>3.59767481220022</v>
      </c>
      <c r="Q146" s="4">
        <f t="shared" si="26"/>
        <v>3.15186037189654</v>
      </c>
      <c r="R146" s="4">
        <f t="shared" si="26"/>
        <v>2.55044253628006</v>
      </c>
      <c r="S146" s="4">
        <f t="shared" si="25"/>
        <v>2.35864920357747</v>
      </c>
      <c r="T146" s="4">
        <f t="shared" si="25"/>
        <v>1.94174448700669</v>
      </c>
      <c r="U146" s="4">
        <f t="shared" si="25"/>
        <v>1.52160087820425</v>
      </c>
      <c r="V146" s="4">
        <f t="shared" si="25"/>
        <v>1.4368358678763</v>
      </c>
      <c r="W146" s="4">
        <f t="shared" si="25"/>
        <v>1.18107158047378</v>
      </c>
      <c r="X146" s="4">
        <f t="shared" si="25"/>
        <v>1.05128565217658</v>
      </c>
      <c r="Y146" s="4">
        <f t="shared" si="25"/>
        <v>0.91628652253514</v>
      </c>
      <c r="Z146" s="4">
        <f t="shared" si="25"/>
        <v>0.895191445871857</v>
      </c>
      <c r="AA146" s="4">
        <f t="shared" si="25"/>
        <v>0.830644499375849</v>
      </c>
      <c r="AB146" s="4">
        <f t="shared" si="25"/>
        <v>0.736392245983075</v>
      </c>
      <c r="AC146" s="4">
        <f t="shared" si="25"/>
        <v>0.659196741811561</v>
      </c>
      <c r="AD146" s="4">
        <f t="shared" si="25"/>
        <v>0.646429228116253</v>
      </c>
      <c r="AE146" s="4">
        <f t="shared" si="25"/>
        <v>0.594361795232747</v>
      </c>
      <c r="AF146" s="4">
        <f t="shared" si="25"/>
        <v>0.559739487127062</v>
      </c>
      <c r="AG146" s="4">
        <f t="shared" si="25"/>
        <v>0.533775235547911</v>
      </c>
      <c r="AH146" s="4">
        <f t="shared" si="17"/>
        <v>0.436481144358783</v>
      </c>
      <c r="AI146" s="4">
        <f t="shared" si="17"/>
        <v>0.38157869324529</v>
      </c>
      <c r="AJ146" s="4">
        <f t="shared" si="17"/>
        <v>0.355401965334779</v>
      </c>
    </row>
    <row r="147" spans="1:36">
      <c r="A147" t="str">
        <f>"post-semis_procurement_archetype_"&amp;TEXT(ROUND(Table2691617[[#This Row],[2016]],3),"0.0")</f>
        <v>post-semis_procurement_archetype_5.8</v>
      </c>
      <c r="B147" s="4">
        <f t="shared" si="24"/>
        <v>5.8</v>
      </c>
      <c r="C147" s="4">
        <f t="shared" si="26"/>
        <v>5.8</v>
      </c>
      <c r="D147" s="4">
        <f t="shared" si="26"/>
        <v>5.8</v>
      </c>
      <c r="E147" s="4">
        <f t="shared" si="26"/>
        <v>5.65401392564185</v>
      </c>
      <c r="F147" s="4">
        <f t="shared" si="26"/>
        <v>5.30108407679149</v>
      </c>
      <c r="G147" s="4">
        <f t="shared" si="26"/>
        <v>5.35042453234312</v>
      </c>
      <c r="H147" s="4">
        <f t="shared" si="26"/>
        <v>5.19723178302324</v>
      </c>
      <c r="I147" s="4">
        <f t="shared" si="26"/>
        <v>4.90089099082075</v>
      </c>
      <c r="J147" s="4">
        <f t="shared" si="26"/>
        <v>4.73442160541954</v>
      </c>
      <c r="K147" s="4">
        <f t="shared" si="26"/>
        <v>4.56353726196404</v>
      </c>
      <c r="L147" s="4">
        <f t="shared" si="26"/>
        <v>4.29360544221615</v>
      </c>
      <c r="M147" s="4">
        <f t="shared" si="26"/>
        <v>4.26084411042466</v>
      </c>
      <c r="N147" s="4">
        <f t="shared" si="26"/>
        <v>4.03966818535589</v>
      </c>
      <c r="O147" s="4">
        <f t="shared" si="26"/>
        <v>3.8103271430456</v>
      </c>
      <c r="P147" s="4">
        <f t="shared" si="26"/>
        <v>3.53919856511081</v>
      </c>
      <c r="Q147" s="4">
        <f t="shared" si="26"/>
        <v>3.10142464347983</v>
      </c>
      <c r="R147" s="4">
        <f t="shared" si="26"/>
        <v>2.51085372285803</v>
      </c>
      <c r="S147" s="4">
        <f t="shared" si="25"/>
        <v>2.32251949271803</v>
      </c>
      <c r="T147" s="4">
        <f t="shared" si="25"/>
        <v>1.91313389140077</v>
      </c>
      <c r="U147" s="4">
        <f t="shared" si="25"/>
        <v>1.50056781312761</v>
      </c>
      <c r="V147" s="4">
        <f t="shared" si="25"/>
        <v>1.41733158829137</v>
      </c>
      <c r="W147" s="4">
        <f t="shared" si="25"/>
        <v>1.1661801562447</v>
      </c>
      <c r="X147" s="4">
        <f t="shared" si="25"/>
        <v>1.03873499147059</v>
      </c>
      <c r="Y147" s="4">
        <f t="shared" si="25"/>
        <v>0.90617064842319</v>
      </c>
      <c r="Z147" s="4">
        <f t="shared" si="25"/>
        <v>0.885456033545079</v>
      </c>
      <c r="AA147" s="4">
        <f t="shared" si="25"/>
        <v>0.822073228184145</v>
      </c>
      <c r="AB147" s="4">
        <f t="shared" si="25"/>
        <v>0.729520868143485</v>
      </c>
      <c r="AC147" s="4">
        <f t="shared" si="25"/>
        <v>0.653717629086392</v>
      </c>
      <c r="AD147" s="4">
        <f t="shared" si="25"/>
        <v>0.641180384810355</v>
      </c>
      <c r="AE147" s="4">
        <f t="shared" si="25"/>
        <v>0.590052017889034</v>
      </c>
      <c r="AF147" s="4">
        <f t="shared" si="25"/>
        <v>0.556054142932321</v>
      </c>
      <c r="AG147" s="4">
        <f t="shared" si="25"/>
        <v>0.530558171495694</v>
      </c>
      <c r="AH147" s="4">
        <f t="shared" ref="AH147:AJ200" si="27">(($B147-$AJ$2)*((AH$2-$AJ$2)/($B$2-$AJ$2)))+$AJ$2</f>
        <v>0.43501883494488</v>
      </c>
      <c r="AI147" s="4">
        <f t="shared" si="27"/>
        <v>0.38110658097048</v>
      </c>
      <c r="AJ147" s="4">
        <f t="shared" si="27"/>
        <v>0.355401965334779</v>
      </c>
    </row>
    <row r="148" spans="1:36">
      <c r="A148" t="str">
        <f>"post-semis_procurement_archetype_"&amp;TEXT(ROUND(Table2691617[[#This Row],[2016]],3),"0.0")</f>
        <v>post-semis_procurement_archetype_5.7</v>
      </c>
      <c r="B148" s="4">
        <f t="shared" si="24"/>
        <v>5.7</v>
      </c>
      <c r="C148" s="4">
        <f t="shared" si="26"/>
        <v>5.7</v>
      </c>
      <c r="D148" s="4">
        <f t="shared" si="26"/>
        <v>5.7</v>
      </c>
      <c r="E148" s="4">
        <f t="shared" si="26"/>
        <v>5.55669522687711</v>
      </c>
      <c r="F148" s="4">
        <f t="shared" si="26"/>
        <v>5.2102475801398</v>
      </c>
      <c r="G148" s="4">
        <f t="shared" si="26"/>
        <v>5.25868180799128</v>
      </c>
      <c r="H148" s="4">
        <f t="shared" si="26"/>
        <v>5.10830272367192</v>
      </c>
      <c r="I148" s="4">
        <f t="shared" si="26"/>
        <v>4.81740477206694</v>
      </c>
      <c r="J148" s="4">
        <f t="shared" si="26"/>
        <v>4.65399290136822</v>
      </c>
      <c r="K148" s="4">
        <f t="shared" si="26"/>
        <v>4.48624716139396</v>
      </c>
      <c r="L148" s="4">
        <f t="shared" si="26"/>
        <v>4.22127313316768</v>
      </c>
      <c r="M148" s="4">
        <f t="shared" si="26"/>
        <v>4.18911352314854</v>
      </c>
      <c r="N148" s="4">
        <f t="shared" si="26"/>
        <v>3.97199989843069</v>
      </c>
      <c r="O148" s="4">
        <f t="shared" si="26"/>
        <v>3.74687112378185</v>
      </c>
      <c r="P148" s="4">
        <f t="shared" si="26"/>
        <v>3.4807223180214</v>
      </c>
      <c r="Q148" s="4">
        <f t="shared" si="26"/>
        <v>3.05098891506312</v>
      </c>
      <c r="R148" s="4">
        <f t="shared" si="26"/>
        <v>2.471264909436</v>
      </c>
      <c r="S148" s="4">
        <f t="shared" si="25"/>
        <v>2.28638978185859</v>
      </c>
      <c r="T148" s="4">
        <f t="shared" si="25"/>
        <v>1.88452329579485</v>
      </c>
      <c r="U148" s="4">
        <f t="shared" si="25"/>
        <v>1.47953474805097</v>
      </c>
      <c r="V148" s="4">
        <f t="shared" si="25"/>
        <v>1.39782730870645</v>
      </c>
      <c r="W148" s="4">
        <f t="shared" si="25"/>
        <v>1.15128873201563</v>
      </c>
      <c r="X148" s="4">
        <f t="shared" si="25"/>
        <v>1.0261843307646</v>
      </c>
      <c r="Y148" s="4">
        <f t="shared" si="25"/>
        <v>0.896054774311241</v>
      </c>
      <c r="Z148" s="4">
        <f t="shared" si="25"/>
        <v>0.875720621218302</v>
      </c>
      <c r="AA148" s="4">
        <f t="shared" si="25"/>
        <v>0.81350195699244</v>
      </c>
      <c r="AB148" s="4">
        <f t="shared" si="25"/>
        <v>0.722649490303896</v>
      </c>
      <c r="AC148" s="4">
        <f t="shared" si="25"/>
        <v>0.648238516361224</v>
      </c>
      <c r="AD148" s="4">
        <f t="shared" si="25"/>
        <v>0.635931541504457</v>
      </c>
      <c r="AE148" s="4">
        <f t="shared" si="25"/>
        <v>0.585742240545321</v>
      </c>
      <c r="AF148" s="4">
        <f t="shared" si="25"/>
        <v>0.552368798737579</v>
      </c>
      <c r="AG148" s="4">
        <f t="shared" si="25"/>
        <v>0.527341107443477</v>
      </c>
      <c r="AH148" s="4">
        <f t="shared" si="27"/>
        <v>0.433556525530977</v>
      </c>
      <c r="AI148" s="4">
        <f t="shared" si="27"/>
        <v>0.38063446869567</v>
      </c>
      <c r="AJ148" s="4">
        <f t="shared" si="27"/>
        <v>0.355401965334779</v>
      </c>
    </row>
    <row r="149" spans="1:36">
      <c r="A149" t="str">
        <f>"post-semis_procurement_archetype_"&amp;TEXT(ROUND(Table2691617[[#This Row],[2016]],3),"0.0")</f>
        <v>post-semis_procurement_archetype_5.6</v>
      </c>
      <c r="B149" s="4">
        <f t="shared" si="24"/>
        <v>5.6</v>
      </c>
      <c r="C149" s="4">
        <f t="shared" si="26"/>
        <v>5.6</v>
      </c>
      <c r="D149" s="4">
        <f t="shared" si="26"/>
        <v>5.6</v>
      </c>
      <c r="E149" s="4">
        <f t="shared" si="26"/>
        <v>5.45937652811236</v>
      </c>
      <c r="F149" s="4">
        <f t="shared" si="26"/>
        <v>5.11941108348811</v>
      </c>
      <c r="G149" s="4">
        <f t="shared" si="26"/>
        <v>5.16693908363945</v>
      </c>
      <c r="H149" s="4">
        <f t="shared" si="26"/>
        <v>5.01937366432059</v>
      </c>
      <c r="I149" s="4">
        <f t="shared" si="26"/>
        <v>4.73391855331314</v>
      </c>
      <c r="J149" s="4">
        <f t="shared" si="26"/>
        <v>4.5735641973169</v>
      </c>
      <c r="K149" s="4">
        <f t="shared" si="26"/>
        <v>4.40895706082388</v>
      </c>
      <c r="L149" s="4">
        <f t="shared" si="26"/>
        <v>4.1489408241192</v>
      </c>
      <c r="M149" s="4">
        <f t="shared" si="26"/>
        <v>4.11738293587241</v>
      </c>
      <c r="N149" s="4">
        <f t="shared" si="26"/>
        <v>3.90433161150549</v>
      </c>
      <c r="O149" s="4">
        <f t="shared" si="26"/>
        <v>3.6834151045181</v>
      </c>
      <c r="P149" s="4">
        <f t="shared" si="26"/>
        <v>3.42224607093199</v>
      </c>
      <c r="Q149" s="4">
        <f t="shared" si="26"/>
        <v>3.00055318664642</v>
      </c>
      <c r="R149" s="4">
        <f t="shared" si="26"/>
        <v>2.43167609601397</v>
      </c>
      <c r="S149" s="4">
        <f t="shared" si="25"/>
        <v>2.25026007099916</v>
      </c>
      <c r="T149" s="4">
        <f t="shared" si="25"/>
        <v>1.85591270018893</v>
      </c>
      <c r="U149" s="4">
        <f t="shared" si="25"/>
        <v>1.45850168297432</v>
      </c>
      <c r="V149" s="4">
        <f t="shared" si="25"/>
        <v>1.37832302912152</v>
      </c>
      <c r="W149" s="4">
        <f t="shared" si="25"/>
        <v>1.13639730778655</v>
      </c>
      <c r="X149" s="4">
        <f t="shared" si="25"/>
        <v>1.01363367005861</v>
      </c>
      <c r="Y149" s="4">
        <f t="shared" si="25"/>
        <v>0.885938900199291</v>
      </c>
      <c r="Z149" s="4">
        <f t="shared" si="25"/>
        <v>0.865985208891524</v>
      </c>
      <c r="AA149" s="4">
        <f t="shared" si="25"/>
        <v>0.804930685800736</v>
      </c>
      <c r="AB149" s="4">
        <f t="shared" si="25"/>
        <v>0.715778112464307</v>
      </c>
      <c r="AC149" s="4">
        <f t="shared" si="25"/>
        <v>0.642759403636055</v>
      </c>
      <c r="AD149" s="4">
        <f t="shared" si="25"/>
        <v>0.630682698198559</v>
      </c>
      <c r="AE149" s="4">
        <f t="shared" si="25"/>
        <v>0.581432463201608</v>
      </c>
      <c r="AF149" s="4">
        <f t="shared" si="25"/>
        <v>0.548683454542838</v>
      </c>
      <c r="AG149" s="4">
        <f t="shared" si="25"/>
        <v>0.524124043391261</v>
      </c>
      <c r="AH149" s="4">
        <f t="shared" si="27"/>
        <v>0.432094216117074</v>
      </c>
      <c r="AI149" s="4">
        <f t="shared" si="27"/>
        <v>0.380162356420861</v>
      </c>
      <c r="AJ149" s="4">
        <f t="shared" si="27"/>
        <v>0.355401965334779</v>
      </c>
    </row>
    <row r="150" spans="1:36">
      <c r="A150" t="str">
        <f>"post-semis_procurement_archetype_"&amp;TEXT(ROUND(Table2691617[[#This Row],[2016]],3),"0.0")</f>
        <v>post-semis_procurement_archetype_5.5</v>
      </c>
      <c r="B150" s="4">
        <f t="shared" si="24"/>
        <v>5.5</v>
      </c>
      <c r="C150" s="4">
        <f t="shared" si="26"/>
        <v>5.5</v>
      </c>
      <c r="D150" s="4">
        <f t="shared" si="26"/>
        <v>5.5</v>
      </c>
      <c r="E150" s="4">
        <f t="shared" si="26"/>
        <v>5.36205782934762</v>
      </c>
      <c r="F150" s="4">
        <f t="shared" si="26"/>
        <v>5.02857458683642</v>
      </c>
      <c r="G150" s="4">
        <f t="shared" si="26"/>
        <v>5.07519635928761</v>
      </c>
      <c r="H150" s="4">
        <f t="shared" si="26"/>
        <v>4.93044460496927</v>
      </c>
      <c r="I150" s="4">
        <f t="shared" si="26"/>
        <v>4.65043233455933</v>
      </c>
      <c r="J150" s="4">
        <f t="shared" si="26"/>
        <v>4.49313549326559</v>
      </c>
      <c r="K150" s="4">
        <f t="shared" si="26"/>
        <v>4.3316669602538</v>
      </c>
      <c r="L150" s="4">
        <f t="shared" si="26"/>
        <v>4.07660851507072</v>
      </c>
      <c r="M150" s="4">
        <f t="shared" si="26"/>
        <v>4.04565234859628</v>
      </c>
      <c r="N150" s="4">
        <f t="shared" si="26"/>
        <v>3.83666332458028</v>
      </c>
      <c r="O150" s="4">
        <f t="shared" si="26"/>
        <v>3.61995908525435</v>
      </c>
      <c r="P150" s="4">
        <f t="shared" si="26"/>
        <v>3.36376982384258</v>
      </c>
      <c r="Q150" s="4">
        <f t="shared" si="26"/>
        <v>2.95011745822971</v>
      </c>
      <c r="R150" s="4">
        <f t="shared" si="26"/>
        <v>2.39208728259193</v>
      </c>
      <c r="S150" s="4">
        <f t="shared" si="25"/>
        <v>2.21413036013972</v>
      </c>
      <c r="T150" s="4">
        <f t="shared" si="25"/>
        <v>1.82730210458301</v>
      </c>
      <c r="U150" s="4">
        <f t="shared" si="25"/>
        <v>1.43746861789768</v>
      </c>
      <c r="V150" s="4">
        <f t="shared" si="25"/>
        <v>1.35881874953659</v>
      </c>
      <c r="W150" s="4">
        <f t="shared" si="25"/>
        <v>1.12150588355748</v>
      </c>
      <c r="X150" s="4">
        <f t="shared" si="25"/>
        <v>1.00108300935262</v>
      </c>
      <c r="Y150" s="4">
        <f t="shared" si="25"/>
        <v>0.875823026087342</v>
      </c>
      <c r="Z150" s="4">
        <f t="shared" si="25"/>
        <v>0.856249796564746</v>
      </c>
      <c r="AA150" s="4">
        <f t="shared" si="25"/>
        <v>0.796359414609031</v>
      </c>
      <c r="AB150" s="4">
        <f t="shared" si="25"/>
        <v>0.708906734624717</v>
      </c>
      <c r="AC150" s="4">
        <f t="shared" si="25"/>
        <v>0.637280290910887</v>
      </c>
      <c r="AD150" s="4">
        <f t="shared" si="25"/>
        <v>0.625433854892661</v>
      </c>
      <c r="AE150" s="4">
        <f t="shared" si="25"/>
        <v>0.577122685857894</v>
      </c>
      <c r="AF150" s="4">
        <f t="shared" si="25"/>
        <v>0.544998110348096</v>
      </c>
      <c r="AG150" s="4">
        <f t="shared" si="25"/>
        <v>0.520906979339044</v>
      </c>
      <c r="AH150" s="4">
        <f t="shared" si="27"/>
        <v>0.43063190670317</v>
      </c>
      <c r="AI150" s="4">
        <f t="shared" si="27"/>
        <v>0.379690244146051</v>
      </c>
      <c r="AJ150" s="4">
        <f t="shared" si="27"/>
        <v>0.355401965334779</v>
      </c>
    </row>
    <row r="151" spans="1:36">
      <c r="A151" t="str">
        <f>"post-semis_procurement_archetype_"&amp;TEXT(ROUND(Table2691617[[#This Row],[2016]],3),"0.0")</f>
        <v>post-semis_procurement_archetype_5.4</v>
      </c>
      <c r="B151" s="4">
        <f t="shared" si="24"/>
        <v>5.4</v>
      </c>
      <c r="C151" s="4">
        <f t="shared" si="26"/>
        <v>5.4</v>
      </c>
      <c r="D151" s="4">
        <f t="shared" si="26"/>
        <v>5.4</v>
      </c>
      <c r="E151" s="4">
        <f t="shared" si="26"/>
        <v>5.26473913058287</v>
      </c>
      <c r="F151" s="4">
        <f t="shared" si="26"/>
        <v>4.93773809018473</v>
      </c>
      <c r="G151" s="4">
        <f t="shared" si="26"/>
        <v>4.98345363493578</v>
      </c>
      <c r="H151" s="4">
        <f t="shared" si="26"/>
        <v>4.84151554561795</v>
      </c>
      <c r="I151" s="4">
        <f t="shared" si="26"/>
        <v>4.56694611580553</v>
      </c>
      <c r="J151" s="4">
        <f t="shared" si="26"/>
        <v>4.41270678921427</v>
      </c>
      <c r="K151" s="4">
        <f t="shared" si="26"/>
        <v>4.25437685968372</v>
      </c>
      <c r="L151" s="4">
        <f t="shared" si="26"/>
        <v>4.00427620602224</v>
      </c>
      <c r="M151" s="4">
        <f t="shared" si="26"/>
        <v>3.97392176132015</v>
      </c>
      <c r="N151" s="4">
        <f t="shared" si="26"/>
        <v>3.76899503765508</v>
      </c>
      <c r="O151" s="4">
        <f t="shared" si="26"/>
        <v>3.5565030659906</v>
      </c>
      <c r="P151" s="4">
        <f t="shared" si="26"/>
        <v>3.30529357675317</v>
      </c>
      <c r="Q151" s="4">
        <f t="shared" si="26"/>
        <v>2.89968172981301</v>
      </c>
      <c r="R151" s="4">
        <f t="shared" si="26"/>
        <v>2.3524984691699</v>
      </c>
      <c r="S151" s="4">
        <f t="shared" si="25"/>
        <v>2.17800064928028</v>
      </c>
      <c r="T151" s="4">
        <f t="shared" si="25"/>
        <v>1.79869150897709</v>
      </c>
      <c r="U151" s="4">
        <f t="shared" si="25"/>
        <v>1.41643555282103</v>
      </c>
      <c r="V151" s="4">
        <f t="shared" si="25"/>
        <v>1.33931446995166</v>
      </c>
      <c r="W151" s="4">
        <f t="shared" si="25"/>
        <v>1.1066144593284</v>
      </c>
      <c r="X151" s="4">
        <f t="shared" si="25"/>
        <v>0.988532348646632</v>
      </c>
      <c r="Y151" s="4">
        <f t="shared" si="25"/>
        <v>0.865707151975392</v>
      </c>
      <c r="Z151" s="4">
        <f t="shared" si="25"/>
        <v>0.846514384237968</v>
      </c>
      <c r="AA151" s="4">
        <f t="shared" si="25"/>
        <v>0.787788143417327</v>
      </c>
      <c r="AB151" s="4">
        <f t="shared" si="25"/>
        <v>0.702035356785128</v>
      </c>
      <c r="AC151" s="4">
        <f t="shared" si="25"/>
        <v>0.631801178185718</v>
      </c>
      <c r="AD151" s="4">
        <f t="shared" si="25"/>
        <v>0.620185011586764</v>
      </c>
      <c r="AE151" s="4">
        <f t="shared" si="25"/>
        <v>0.572812908514181</v>
      </c>
      <c r="AF151" s="4">
        <f t="shared" si="25"/>
        <v>0.541312766153355</v>
      </c>
      <c r="AG151" s="4">
        <f t="shared" si="25"/>
        <v>0.517689915286827</v>
      </c>
      <c r="AH151" s="4">
        <f t="shared" si="27"/>
        <v>0.429169597289267</v>
      </c>
      <c r="AI151" s="4">
        <f t="shared" si="27"/>
        <v>0.379218131871241</v>
      </c>
      <c r="AJ151" s="4">
        <f t="shared" si="27"/>
        <v>0.355401965334779</v>
      </c>
    </row>
    <row r="152" spans="1:36">
      <c r="A152" t="str">
        <f>"post-semis_procurement_archetype_"&amp;TEXT(ROUND(Table2691617[[#This Row],[2016]],3),"0.0")</f>
        <v>post-semis_procurement_archetype_5.3</v>
      </c>
      <c r="B152" s="4">
        <f t="shared" si="24"/>
        <v>5.3</v>
      </c>
      <c r="C152" s="4">
        <f t="shared" si="26"/>
        <v>5.3</v>
      </c>
      <c r="D152" s="4">
        <f t="shared" si="26"/>
        <v>5.3</v>
      </c>
      <c r="E152" s="4">
        <f t="shared" si="26"/>
        <v>5.16742043181813</v>
      </c>
      <c r="F152" s="4">
        <f t="shared" si="26"/>
        <v>4.84690159353304</v>
      </c>
      <c r="G152" s="4">
        <f t="shared" si="26"/>
        <v>4.89171091058394</v>
      </c>
      <c r="H152" s="4">
        <f t="shared" si="26"/>
        <v>4.75258648626662</v>
      </c>
      <c r="I152" s="4">
        <f t="shared" si="26"/>
        <v>4.48345989705172</v>
      </c>
      <c r="J152" s="4">
        <f t="shared" si="26"/>
        <v>4.33227808516295</v>
      </c>
      <c r="K152" s="4">
        <f t="shared" si="26"/>
        <v>4.17708675911365</v>
      </c>
      <c r="L152" s="4">
        <f t="shared" si="26"/>
        <v>3.93194389697377</v>
      </c>
      <c r="M152" s="4">
        <f t="shared" si="26"/>
        <v>3.90219117404402</v>
      </c>
      <c r="N152" s="4">
        <f t="shared" si="26"/>
        <v>3.70132675072988</v>
      </c>
      <c r="O152" s="4">
        <f t="shared" si="26"/>
        <v>3.49304704672686</v>
      </c>
      <c r="P152" s="4">
        <f t="shared" si="26"/>
        <v>3.24681732966376</v>
      </c>
      <c r="Q152" s="4">
        <f t="shared" si="26"/>
        <v>2.8492460013963</v>
      </c>
      <c r="R152" s="4">
        <f t="shared" si="26"/>
        <v>2.31290965574787</v>
      </c>
      <c r="S152" s="4">
        <f t="shared" si="25"/>
        <v>2.14187093842084</v>
      </c>
      <c r="T152" s="4">
        <f t="shared" si="25"/>
        <v>1.77008091337116</v>
      </c>
      <c r="U152" s="4">
        <f t="shared" si="25"/>
        <v>1.39540248774439</v>
      </c>
      <c r="V152" s="4">
        <f t="shared" si="25"/>
        <v>1.31981019036673</v>
      </c>
      <c r="W152" s="4">
        <f t="shared" si="25"/>
        <v>1.09172303509932</v>
      </c>
      <c r="X152" s="4">
        <f t="shared" si="25"/>
        <v>0.975981687940642</v>
      </c>
      <c r="Y152" s="4">
        <f t="shared" si="25"/>
        <v>0.855591277863443</v>
      </c>
      <c r="Z152" s="4">
        <f t="shared" si="25"/>
        <v>0.83677897191119</v>
      </c>
      <c r="AA152" s="4">
        <f t="shared" si="25"/>
        <v>0.779216872225622</v>
      </c>
      <c r="AB152" s="4">
        <f t="shared" si="25"/>
        <v>0.695163978945538</v>
      </c>
      <c r="AC152" s="4">
        <f t="shared" si="25"/>
        <v>0.62632206546055</v>
      </c>
      <c r="AD152" s="4">
        <f t="shared" si="25"/>
        <v>0.614936168280866</v>
      </c>
      <c r="AE152" s="4">
        <f t="shared" si="25"/>
        <v>0.568503131170468</v>
      </c>
      <c r="AF152" s="4">
        <f t="shared" si="25"/>
        <v>0.537627421958613</v>
      </c>
      <c r="AG152" s="4">
        <f t="shared" si="25"/>
        <v>0.51447285123461</v>
      </c>
      <c r="AH152" s="4">
        <f t="shared" si="27"/>
        <v>0.427707287875364</v>
      </c>
      <c r="AI152" s="4">
        <f t="shared" si="27"/>
        <v>0.378746019596432</v>
      </c>
      <c r="AJ152" s="4">
        <f t="shared" si="27"/>
        <v>0.355401965334779</v>
      </c>
    </row>
    <row r="153" spans="1:36">
      <c r="A153" t="str">
        <f>"post-semis_procurement_archetype_"&amp;TEXT(ROUND(Table2691617[[#This Row],[2016]],3),"0.0")</f>
        <v>post-semis_procurement_archetype_5.2</v>
      </c>
      <c r="B153" s="4">
        <f t="shared" si="24"/>
        <v>5.2</v>
      </c>
      <c r="C153" s="4">
        <f t="shared" si="26"/>
        <v>5.2</v>
      </c>
      <c r="D153" s="4">
        <f t="shared" si="26"/>
        <v>5.2</v>
      </c>
      <c r="E153" s="4">
        <f t="shared" si="26"/>
        <v>5.07010173305338</v>
      </c>
      <c r="F153" s="4">
        <f t="shared" si="26"/>
        <v>4.75606509688135</v>
      </c>
      <c r="G153" s="4">
        <f t="shared" si="26"/>
        <v>4.79996818623211</v>
      </c>
      <c r="H153" s="4">
        <f t="shared" si="26"/>
        <v>4.6636574269153</v>
      </c>
      <c r="I153" s="4">
        <f t="shared" si="26"/>
        <v>4.39997367829792</v>
      </c>
      <c r="J153" s="4">
        <f t="shared" si="26"/>
        <v>4.25184938111163</v>
      </c>
      <c r="K153" s="4">
        <f t="shared" si="26"/>
        <v>4.09979665854357</v>
      </c>
      <c r="L153" s="4">
        <f t="shared" si="26"/>
        <v>3.85961158792529</v>
      </c>
      <c r="M153" s="4">
        <f t="shared" si="26"/>
        <v>3.8304605867679</v>
      </c>
      <c r="N153" s="4">
        <f t="shared" si="26"/>
        <v>3.63365846380468</v>
      </c>
      <c r="O153" s="4">
        <f t="shared" si="26"/>
        <v>3.42959102746311</v>
      </c>
      <c r="P153" s="4">
        <f t="shared" si="26"/>
        <v>3.18834108257435</v>
      </c>
      <c r="Q153" s="4">
        <f t="shared" si="26"/>
        <v>2.7988102729796</v>
      </c>
      <c r="R153" s="4">
        <f t="shared" si="26"/>
        <v>2.27332084232584</v>
      </c>
      <c r="S153" s="4">
        <f t="shared" si="25"/>
        <v>2.1057412275614</v>
      </c>
      <c r="T153" s="4">
        <f t="shared" si="25"/>
        <v>1.74147031776524</v>
      </c>
      <c r="U153" s="4">
        <f t="shared" si="25"/>
        <v>1.37436942266774</v>
      </c>
      <c r="V153" s="4">
        <f t="shared" si="25"/>
        <v>1.30030591078181</v>
      </c>
      <c r="W153" s="4">
        <f t="shared" si="25"/>
        <v>1.07683161087025</v>
      </c>
      <c r="X153" s="4">
        <f t="shared" si="25"/>
        <v>0.963431027234653</v>
      </c>
      <c r="Y153" s="4">
        <f t="shared" si="25"/>
        <v>0.845475403751493</v>
      </c>
      <c r="Z153" s="4">
        <f t="shared" si="25"/>
        <v>0.827043559584412</v>
      </c>
      <c r="AA153" s="4">
        <f t="shared" si="25"/>
        <v>0.770645601033918</v>
      </c>
      <c r="AB153" s="4">
        <f t="shared" si="25"/>
        <v>0.688292601105949</v>
      </c>
      <c r="AC153" s="4">
        <f t="shared" si="25"/>
        <v>0.620842952735381</v>
      </c>
      <c r="AD153" s="4">
        <f t="shared" si="25"/>
        <v>0.609687324974968</v>
      </c>
      <c r="AE153" s="4">
        <f t="shared" si="25"/>
        <v>0.564193353826755</v>
      </c>
      <c r="AF153" s="4">
        <f t="shared" si="25"/>
        <v>0.533942077763872</v>
      </c>
      <c r="AG153" s="4">
        <f t="shared" si="25"/>
        <v>0.511255787182394</v>
      </c>
      <c r="AH153" s="4">
        <f t="shared" si="27"/>
        <v>0.426244978461461</v>
      </c>
      <c r="AI153" s="4">
        <f t="shared" si="27"/>
        <v>0.378273907321622</v>
      </c>
      <c r="AJ153" s="4">
        <f t="shared" si="27"/>
        <v>0.355401965334779</v>
      </c>
    </row>
    <row r="154" spans="1:36">
      <c r="A154" t="str">
        <f>"post-semis_procurement_archetype_"&amp;TEXT(ROUND(Table2691617[[#This Row],[2016]],3),"0.0")</f>
        <v>post-semis_procurement_archetype_5.1</v>
      </c>
      <c r="B154" s="4">
        <f t="shared" si="24"/>
        <v>5.1</v>
      </c>
      <c r="C154" s="4">
        <f t="shared" si="26"/>
        <v>5.1</v>
      </c>
      <c r="D154" s="4">
        <f t="shared" si="26"/>
        <v>5.1</v>
      </c>
      <c r="E154" s="4">
        <f t="shared" si="26"/>
        <v>4.97278303428864</v>
      </c>
      <c r="F154" s="4">
        <f t="shared" si="26"/>
        <v>4.66522860022966</v>
      </c>
      <c r="G154" s="4">
        <f t="shared" si="26"/>
        <v>4.70822546188027</v>
      </c>
      <c r="H154" s="4">
        <f t="shared" si="26"/>
        <v>4.57472836756397</v>
      </c>
      <c r="I154" s="4">
        <f t="shared" si="26"/>
        <v>4.31648745954411</v>
      </c>
      <c r="J154" s="4">
        <f t="shared" si="26"/>
        <v>4.17142067706031</v>
      </c>
      <c r="K154" s="4">
        <f t="shared" si="26"/>
        <v>4.02250655797349</v>
      </c>
      <c r="L154" s="4">
        <f t="shared" si="26"/>
        <v>3.78727927887681</v>
      </c>
      <c r="M154" s="4">
        <f t="shared" si="26"/>
        <v>3.75872999949177</v>
      </c>
      <c r="N154" s="4">
        <f t="shared" si="26"/>
        <v>3.56599017687948</v>
      </c>
      <c r="O154" s="4">
        <f t="shared" si="26"/>
        <v>3.36613500819936</v>
      </c>
      <c r="P154" s="4">
        <f t="shared" si="26"/>
        <v>3.12986483548494</v>
      </c>
      <c r="Q154" s="4">
        <f t="shared" si="26"/>
        <v>2.74837454456289</v>
      </c>
      <c r="R154" s="4">
        <f t="shared" si="26"/>
        <v>2.23373202890381</v>
      </c>
      <c r="S154" s="4">
        <f t="shared" si="25"/>
        <v>2.06961151670196</v>
      </c>
      <c r="T154" s="4">
        <f t="shared" si="25"/>
        <v>1.71285972215932</v>
      </c>
      <c r="U154" s="4">
        <f t="shared" si="25"/>
        <v>1.3533363575911</v>
      </c>
      <c r="V154" s="4">
        <f t="shared" si="25"/>
        <v>1.28080163119688</v>
      </c>
      <c r="W154" s="4">
        <f t="shared" si="25"/>
        <v>1.06194018664117</v>
      </c>
      <c r="X154" s="4">
        <f t="shared" si="25"/>
        <v>0.950880366528663</v>
      </c>
      <c r="Y154" s="4">
        <f t="shared" si="25"/>
        <v>0.835359529639544</v>
      </c>
      <c r="Z154" s="4">
        <f t="shared" si="25"/>
        <v>0.817308147257635</v>
      </c>
      <c r="AA154" s="4">
        <f t="shared" si="25"/>
        <v>0.762074329842213</v>
      </c>
      <c r="AB154" s="4">
        <f t="shared" si="25"/>
        <v>0.681421223266359</v>
      </c>
      <c r="AC154" s="4">
        <f t="shared" si="25"/>
        <v>0.615363840010213</v>
      </c>
      <c r="AD154" s="4">
        <f t="shared" si="25"/>
        <v>0.60443848166907</v>
      </c>
      <c r="AE154" s="4">
        <f t="shared" si="25"/>
        <v>0.559883576483042</v>
      </c>
      <c r="AF154" s="4">
        <f t="shared" si="25"/>
        <v>0.530256733569131</v>
      </c>
      <c r="AG154" s="4">
        <f t="shared" si="25"/>
        <v>0.508038723130177</v>
      </c>
      <c r="AH154" s="4">
        <f t="shared" si="27"/>
        <v>0.424782669047557</v>
      </c>
      <c r="AI154" s="4">
        <f t="shared" si="27"/>
        <v>0.377801795046812</v>
      </c>
      <c r="AJ154" s="4">
        <f t="shared" si="27"/>
        <v>0.355401965334779</v>
      </c>
    </row>
    <row r="155" spans="1:36">
      <c r="A155" t="str">
        <f>"post-semis_procurement_archetype_"&amp;TEXT(ROUND(Table2691617[[#This Row],[2016]],3),"0.0")</f>
        <v>post-semis_procurement_archetype_5.0</v>
      </c>
      <c r="B155" s="4">
        <f t="shared" si="24"/>
        <v>5</v>
      </c>
      <c r="C155" s="4">
        <f t="shared" si="26"/>
        <v>5</v>
      </c>
      <c r="D155" s="4">
        <f t="shared" si="26"/>
        <v>5</v>
      </c>
      <c r="E155" s="4">
        <f t="shared" si="26"/>
        <v>4.87546433552389</v>
      </c>
      <c r="F155" s="4">
        <f t="shared" si="26"/>
        <v>4.57439210357796</v>
      </c>
      <c r="G155" s="4">
        <f t="shared" si="26"/>
        <v>4.61648273752844</v>
      </c>
      <c r="H155" s="4">
        <f t="shared" si="26"/>
        <v>4.48579930821265</v>
      </c>
      <c r="I155" s="4">
        <f t="shared" si="26"/>
        <v>4.23300124079031</v>
      </c>
      <c r="J155" s="4">
        <f t="shared" si="26"/>
        <v>4.090991973009</v>
      </c>
      <c r="K155" s="4">
        <f t="shared" si="26"/>
        <v>3.94521645740341</v>
      </c>
      <c r="L155" s="4">
        <f t="shared" si="26"/>
        <v>3.71494696982833</v>
      </c>
      <c r="M155" s="4">
        <f t="shared" si="26"/>
        <v>3.68699941221564</v>
      </c>
      <c r="N155" s="4">
        <f t="shared" si="26"/>
        <v>3.49832188995428</v>
      </c>
      <c r="O155" s="4">
        <f t="shared" si="26"/>
        <v>3.30267898893561</v>
      </c>
      <c r="P155" s="4">
        <f t="shared" si="26"/>
        <v>3.07138858839553</v>
      </c>
      <c r="Q155" s="4">
        <f t="shared" si="26"/>
        <v>2.69793881614618</v>
      </c>
      <c r="R155" s="4">
        <f t="shared" si="26"/>
        <v>2.19414321548177</v>
      </c>
      <c r="S155" s="4">
        <f t="shared" si="25"/>
        <v>2.03348180584252</v>
      </c>
      <c r="T155" s="4">
        <f t="shared" si="25"/>
        <v>1.6842491265534</v>
      </c>
      <c r="U155" s="4">
        <f t="shared" si="25"/>
        <v>1.33230329251446</v>
      </c>
      <c r="V155" s="4">
        <f t="shared" si="25"/>
        <v>1.26129735161195</v>
      </c>
      <c r="W155" s="4">
        <f t="shared" si="25"/>
        <v>1.0470487624121</v>
      </c>
      <c r="X155" s="4">
        <f t="shared" si="25"/>
        <v>0.938329705822673</v>
      </c>
      <c r="Y155" s="4">
        <f t="shared" si="25"/>
        <v>0.825243655527594</v>
      </c>
      <c r="Z155" s="4">
        <f t="shared" si="25"/>
        <v>0.807572734930857</v>
      </c>
      <c r="AA155" s="4">
        <f t="shared" si="25"/>
        <v>0.753503058650509</v>
      </c>
      <c r="AB155" s="4">
        <f t="shared" si="25"/>
        <v>0.67454984542677</v>
      </c>
      <c r="AC155" s="4">
        <f t="shared" si="25"/>
        <v>0.609884727285045</v>
      </c>
      <c r="AD155" s="4">
        <f t="shared" si="25"/>
        <v>0.599189638363172</v>
      </c>
      <c r="AE155" s="4">
        <f t="shared" si="25"/>
        <v>0.555573799139328</v>
      </c>
      <c r="AF155" s="4">
        <f t="shared" si="25"/>
        <v>0.526571389374389</v>
      </c>
      <c r="AG155" s="4">
        <f t="shared" si="25"/>
        <v>0.50482165907796</v>
      </c>
      <c r="AH155" s="4">
        <f t="shared" si="27"/>
        <v>0.423320359633654</v>
      </c>
      <c r="AI155" s="4">
        <f t="shared" si="27"/>
        <v>0.377329682772003</v>
      </c>
      <c r="AJ155" s="4">
        <f t="shared" si="27"/>
        <v>0.355401965334779</v>
      </c>
    </row>
    <row r="156" spans="1:36">
      <c r="A156" t="str">
        <f>"post-semis_procurement_archetype_"&amp;TEXT(ROUND(Table2691617[[#This Row],[2016]],3),"0.0")</f>
        <v>post-semis_procurement_archetype_4.9</v>
      </c>
      <c r="B156" s="4">
        <f t="shared" si="24"/>
        <v>4.9</v>
      </c>
      <c r="C156" s="4">
        <f t="shared" si="26"/>
        <v>4.9</v>
      </c>
      <c r="D156" s="4">
        <f t="shared" si="26"/>
        <v>4.9</v>
      </c>
      <c r="E156" s="4">
        <f t="shared" si="26"/>
        <v>4.77814563675915</v>
      </c>
      <c r="F156" s="4">
        <f t="shared" si="26"/>
        <v>4.48355560692627</v>
      </c>
      <c r="G156" s="4">
        <f t="shared" si="26"/>
        <v>4.5247400131766</v>
      </c>
      <c r="H156" s="4">
        <f t="shared" si="26"/>
        <v>4.39687024886133</v>
      </c>
      <c r="I156" s="4">
        <f t="shared" si="26"/>
        <v>4.1495150220365</v>
      </c>
      <c r="J156" s="4">
        <f t="shared" si="26"/>
        <v>4.01056326895768</v>
      </c>
      <c r="K156" s="4">
        <f t="shared" si="26"/>
        <v>3.86792635683333</v>
      </c>
      <c r="L156" s="4">
        <f t="shared" si="26"/>
        <v>3.64261466077986</v>
      </c>
      <c r="M156" s="4">
        <f t="shared" si="26"/>
        <v>3.61526882493951</v>
      </c>
      <c r="N156" s="4">
        <f t="shared" si="26"/>
        <v>3.43065360302908</v>
      </c>
      <c r="O156" s="4">
        <f t="shared" si="26"/>
        <v>3.23922296967186</v>
      </c>
      <c r="P156" s="4">
        <f t="shared" si="26"/>
        <v>3.01291234130612</v>
      </c>
      <c r="Q156" s="4">
        <f t="shared" si="26"/>
        <v>2.64750308772948</v>
      </c>
      <c r="R156" s="4">
        <f t="shared" ref="R156:AG171" si="28">(($B156-$AJ$2)*((R$2-$AJ$2)/($B$2-$AJ$2)))+$AJ$2</f>
        <v>2.15455440205974</v>
      </c>
      <c r="S156" s="4">
        <f t="shared" si="28"/>
        <v>1.99735209498308</v>
      </c>
      <c r="T156" s="4">
        <f t="shared" si="28"/>
        <v>1.65563853094748</v>
      </c>
      <c r="U156" s="4">
        <f t="shared" si="28"/>
        <v>1.31127022743781</v>
      </c>
      <c r="V156" s="4">
        <f t="shared" si="28"/>
        <v>1.24179307202702</v>
      </c>
      <c r="W156" s="4">
        <f t="shared" si="28"/>
        <v>1.03215733818302</v>
      </c>
      <c r="X156" s="4">
        <f t="shared" si="28"/>
        <v>0.925779045116684</v>
      </c>
      <c r="Y156" s="4">
        <f t="shared" si="28"/>
        <v>0.815127781415645</v>
      </c>
      <c r="Z156" s="4">
        <f t="shared" si="28"/>
        <v>0.797837322604079</v>
      </c>
      <c r="AA156" s="4">
        <f t="shared" si="28"/>
        <v>0.744931787458805</v>
      </c>
      <c r="AB156" s="4">
        <f t="shared" si="28"/>
        <v>0.667678467587181</v>
      </c>
      <c r="AC156" s="4">
        <f t="shared" si="28"/>
        <v>0.604405614559876</v>
      </c>
      <c r="AD156" s="4">
        <f t="shared" si="28"/>
        <v>0.593940795057274</v>
      </c>
      <c r="AE156" s="4">
        <f t="shared" si="28"/>
        <v>0.551264021795615</v>
      </c>
      <c r="AF156" s="4">
        <f t="shared" si="28"/>
        <v>0.522886045179648</v>
      </c>
      <c r="AG156" s="4">
        <f t="shared" si="28"/>
        <v>0.501604595025743</v>
      </c>
      <c r="AH156" s="4">
        <f t="shared" si="27"/>
        <v>0.421858050219751</v>
      </c>
      <c r="AI156" s="4">
        <f t="shared" si="27"/>
        <v>0.376857570497193</v>
      </c>
      <c r="AJ156" s="4">
        <f t="shared" si="27"/>
        <v>0.355401965334779</v>
      </c>
    </row>
    <row r="157" spans="1:36">
      <c r="A157" t="str">
        <f>"post-semis_procurement_archetype_"&amp;TEXT(ROUND(Table2691617[[#This Row],[2016]],3),"0.0")</f>
        <v>post-semis_procurement_archetype_4.8</v>
      </c>
      <c r="B157" s="4">
        <f t="shared" si="24"/>
        <v>4.8</v>
      </c>
      <c r="C157" s="4">
        <f t="shared" ref="C157:R172" si="29">(($B157-$AJ$2)*((C$2-$AJ$2)/($B$2-$AJ$2)))+$AJ$2</f>
        <v>4.8</v>
      </c>
      <c r="D157" s="4">
        <f t="shared" si="29"/>
        <v>4.8</v>
      </c>
      <c r="E157" s="4">
        <f t="shared" si="29"/>
        <v>4.6808269379944</v>
      </c>
      <c r="F157" s="4">
        <f t="shared" si="29"/>
        <v>4.39271911027458</v>
      </c>
      <c r="G157" s="4">
        <f t="shared" si="29"/>
        <v>4.43299728882477</v>
      </c>
      <c r="H157" s="4">
        <f t="shared" si="29"/>
        <v>4.30794118951</v>
      </c>
      <c r="I157" s="4">
        <f t="shared" si="29"/>
        <v>4.0660288032827</v>
      </c>
      <c r="J157" s="4">
        <f t="shared" si="29"/>
        <v>3.93013456490636</v>
      </c>
      <c r="K157" s="4">
        <f t="shared" si="29"/>
        <v>3.79063625626325</v>
      </c>
      <c r="L157" s="4">
        <f t="shared" si="29"/>
        <v>3.57028235173138</v>
      </c>
      <c r="M157" s="4">
        <f t="shared" si="29"/>
        <v>3.54353823766338</v>
      </c>
      <c r="N157" s="4">
        <f t="shared" si="29"/>
        <v>3.36298531610388</v>
      </c>
      <c r="O157" s="4">
        <f t="shared" si="29"/>
        <v>3.17576695040812</v>
      </c>
      <c r="P157" s="4">
        <f t="shared" si="29"/>
        <v>2.95443609421671</v>
      </c>
      <c r="Q157" s="4">
        <f t="shared" si="29"/>
        <v>2.59706735931277</v>
      </c>
      <c r="R157" s="4">
        <f t="shared" si="29"/>
        <v>2.11496558863771</v>
      </c>
      <c r="S157" s="4">
        <f t="shared" si="28"/>
        <v>1.96122238412364</v>
      </c>
      <c r="T157" s="4">
        <f t="shared" si="28"/>
        <v>1.62702793534156</v>
      </c>
      <c r="U157" s="4">
        <f t="shared" si="28"/>
        <v>1.29023716236117</v>
      </c>
      <c r="V157" s="4">
        <f t="shared" si="28"/>
        <v>1.2222887924421</v>
      </c>
      <c r="W157" s="4">
        <f t="shared" si="28"/>
        <v>1.01726591395395</v>
      </c>
      <c r="X157" s="4">
        <f t="shared" si="28"/>
        <v>0.913228384410694</v>
      </c>
      <c r="Y157" s="4">
        <f t="shared" si="28"/>
        <v>0.805011907303695</v>
      </c>
      <c r="Z157" s="4">
        <f t="shared" si="28"/>
        <v>0.788101910277301</v>
      </c>
      <c r="AA157" s="4">
        <f t="shared" si="28"/>
        <v>0.7363605162671</v>
      </c>
      <c r="AB157" s="4">
        <f t="shared" si="28"/>
        <v>0.660807089747591</v>
      </c>
      <c r="AC157" s="4">
        <f t="shared" si="28"/>
        <v>0.598926501834708</v>
      </c>
      <c r="AD157" s="4">
        <f t="shared" si="28"/>
        <v>0.588691951751376</v>
      </c>
      <c r="AE157" s="4">
        <f t="shared" si="28"/>
        <v>0.546954244451902</v>
      </c>
      <c r="AF157" s="4">
        <f t="shared" si="28"/>
        <v>0.519200700984906</v>
      </c>
      <c r="AG157" s="4">
        <f t="shared" si="28"/>
        <v>0.498387530973527</v>
      </c>
      <c r="AH157" s="4">
        <f t="shared" si="27"/>
        <v>0.420395740805848</v>
      </c>
      <c r="AI157" s="4">
        <f t="shared" si="27"/>
        <v>0.376385458222383</v>
      </c>
      <c r="AJ157" s="4">
        <f t="shared" si="27"/>
        <v>0.355401965334779</v>
      </c>
    </row>
    <row r="158" spans="1:36">
      <c r="A158" t="str">
        <f>"post-semis_procurement_archetype_"&amp;TEXT(ROUND(Table2691617[[#This Row],[2016]],3),"0.0")</f>
        <v>post-semis_procurement_archetype_4.7</v>
      </c>
      <c r="B158" s="4">
        <f t="shared" si="24"/>
        <v>4.7</v>
      </c>
      <c r="C158" s="4">
        <f t="shared" si="29"/>
        <v>4.7</v>
      </c>
      <c r="D158" s="4">
        <f t="shared" si="29"/>
        <v>4.7</v>
      </c>
      <c r="E158" s="4">
        <f t="shared" si="29"/>
        <v>4.58350823922966</v>
      </c>
      <c r="F158" s="4">
        <f t="shared" si="29"/>
        <v>4.30188261362289</v>
      </c>
      <c r="G158" s="4">
        <f t="shared" si="29"/>
        <v>4.34125456447293</v>
      </c>
      <c r="H158" s="4">
        <f t="shared" si="29"/>
        <v>4.21901213015868</v>
      </c>
      <c r="I158" s="4">
        <f t="shared" si="29"/>
        <v>3.98254258452889</v>
      </c>
      <c r="J158" s="4">
        <f t="shared" si="29"/>
        <v>3.84970586085504</v>
      </c>
      <c r="K158" s="4">
        <f t="shared" si="29"/>
        <v>3.71334615569318</v>
      </c>
      <c r="L158" s="4">
        <f t="shared" si="29"/>
        <v>3.4979500426829</v>
      </c>
      <c r="M158" s="4">
        <f t="shared" si="29"/>
        <v>3.47180765038726</v>
      </c>
      <c r="N158" s="4">
        <f t="shared" si="29"/>
        <v>3.29531702917868</v>
      </c>
      <c r="O158" s="4">
        <f t="shared" si="29"/>
        <v>3.11231093114437</v>
      </c>
      <c r="P158" s="4">
        <f t="shared" si="29"/>
        <v>2.8959598471273</v>
      </c>
      <c r="Q158" s="4">
        <f t="shared" si="29"/>
        <v>2.54663163089607</v>
      </c>
      <c r="R158" s="4">
        <f t="shared" si="29"/>
        <v>2.07537677521568</v>
      </c>
      <c r="S158" s="4">
        <f t="shared" si="28"/>
        <v>1.9250926732642</v>
      </c>
      <c r="T158" s="4">
        <f t="shared" si="28"/>
        <v>1.59841733973564</v>
      </c>
      <c r="U158" s="4">
        <f t="shared" si="28"/>
        <v>1.26920409728452</v>
      </c>
      <c r="V158" s="4">
        <f t="shared" si="28"/>
        <v>1.20278451285717</v>
      </c>
      <c r="W158" s="4">
        <f t="shared" si="28"/>
        <v>1.00237448972487</v>
      </c>
      <c r="X158" s="4">
        <f t="shared" si="28"/>
        <v>0.900677723704705</v>
      </c>
      <c r="Y158" s="4">
        <f t="shared" si="28"/>
        <v>0.794896033191745</v>
      </c>
      <c r="Z158" s="4">
        <f t="shared" si="28"/>
        <v>0.778366497950523</v>
      </c>
      <c r="AA158" s="4">
        <f t="shared" si="28"/>
        <v>0.727789245075396</v>
      </c>
      <c r="AB158" s="4">
        <f t="shared" si="28"/>
        <v>0.653935711908002</v>
      </c>
      <c r="AC158" s="4">
        <f t="shared" si="28"/>
        <v>0.593447389109539</v>
      </c>
      <c r="AD158" s="4">
        <f t="shared" si="28"/>
        <v>0.583443108445478</v>
      </c>
      <c r="AE158" s="4">
        <f t="shared" si="28"/>
        <v>0.542644467108189</v>
      </c>
      <c r="AF158" s="4">
        <f t="shared" si="28"/>
        <v>0.515515356790165</v>
      </c>
      <c r="AG158" s="4">
        <f t="shared" si="28"/>
        <v>0.49517046692131</v>
      </c>
      <c r="AH158" s="4">
        <f t="shared" si="27"/>
        <v>0.418933431391944</v>
      </c>
      <c r="AI158" s="4">
        <f t="shared" si="27"/>
        <v>0.375913345947574</v>
      </c>
      <c r="AJ158" s="4">
        <f t="shared" si="27"/>
        <v>0.355401965334779</v>
      </c>
    </row>
    <row r="159" spans="1:36">
      <c r="A159" t="str">
        <f>"post-semis_procurement_archetype_"&amp;TEXT(ROUND(Table2691617[[#This Row],[2016]],3),"0.0")</f>
        <v>post-semis_procurement_archetype_4.6</v>
      </c>
      <c r="B159" s="4">
        <f t="shared" si="24"/>
        <v>4.6</v>
      </c>
      <c r="C159" s="4">
        <f t="shared" si="29"/>
        <v>4.6</v>
      </c>
      <c r="D159" s="4">
        <f t="shared" si="29"/>
        <v>4.6</v>
      </c>
      <c r="E159" s="4">
        <f t="shared" si="29"/>
        <v>4.48618954046491</v>
      </c>
      <c r="F159" s="4">
        <f t="shared" si="29"/>
        <v>4.2110461169712</v>
      </c>
      <c r="G159" s="4">
        <f t="shared" si="29"/>
        <v>4.2495118401211</v>
      </c>
      <c r="H159" s="4">
        <f t="shared" si="29"/>
        <v>4.13008307080735</v>
      </c>
      <c r="I159" s="4">
        <f t="shared" si="29"/>
        <v>3.89905636577509</v>
      </c>
      <c r="J159" s="4">
        <f t="shared" si="29"/>
        <v>3.76927715680372</v>
      </c>
      <c r="K159" s="4">
        <f t="shared" si="29"/>
        <v>3.6360560551231</v>
      </c>
      <c r="L159" s="4">
        <f t="shared" si="29"/>
        <v>3.42561773363442</v>
      </c>
      <c r="M159" s="4">
        <f t="shared" si="29"/>
        <v>3.40007706311113</v>
      </c>
      <c r="N159" s="4">
        <f t="shared" si="29"/>
        <v>3.22764874225348</v>
      </c>
      <c r="O159" s="4">
        <f t="shared" si="29"/>
        <v>3.04885491188062</v>
      </c>
      <c r="P159" s="4">
        <f t="shared" si="29"/>
        <v>2.83748360003788</v>
      </c>
      <c r="Q159" s="4">
        <f t="shared" si="29"/>
        <v>2.49619590247936</v>
      </c>
      <c r="R159" s="4">
        <f t="shared" si="29"/>
        <v>2.03578796179364</v>
      </c>
      <c r="S159" s="4">
        <f t="shared" si="28"/>
        <v>1.88896296240476</v>
      </c>
      <c r="T159" s="4">
        <f t="shared" si="28"/>
        <v>1.56980674412972</v>
      </c>
      <c r="U159" s="4">
        <f t="shared" si="28"/>
        <v>1.24817103220788</v>
      </c>
      <c r="V159" s="4">
        <f t="shared" si="28"/>
        <v>1.18328023327224</v>
      </c>
      <c r="W159" s="4">
        <f t="shared" si="28"/>
        <v>0.987483065495794</v>
      </c>
      <c r="X159" s="4">
        <f t="shared" si="28"/>
        <v>0.888127062998715</v>
      </c>
      <c r="Y159" s="4">
        <f t="shared" si="28"/>
        <v>0.784780159079796</v>
      </c>
      <c r="Z159" s="4">
        <f t="shared" si="28"/>
        <v>0.768631085623745</v>
      </c>
      <c r="AA159" s="4">
        <f t="shared" si="28"/>
        <v>0.719217973883691</v>
      </c>
      <c r="AB159" s="4">
        <f t="shared" si="28"/>
        <v>0.647064334068412</v>
      </c>
      <c r="AC159" s="4">
        <f t="shared" si="28"/>
        <v>0.587968276384371</v>
      </c>
      <c r="AD159" s="4">
        <f t="shared" si="28"/>
        <v>0.57819426513958</v>
      </c>
      <c r="AE159" s="4">
        <f t="shared" si="28"/>
        <v>0.538334689764476</v>
      </c>
      <c r="AF159" s="4">
        <f t="shared" si="28"/>
        <v>0.511830012595423</v>
      </c>
      <c r="AG159" s="4">
        <f t="shared" si="28"/>
        <v>0.491953402869093</v>
      </c>
      <c r="AH159" s="4">
        <f t="shared" si="27"/>
        <v>0.417471121978041</v>
      </c>
      <c r="AI159" s="4">
        <f t="shared" si="27"/>
        <v>0.375441233672764</v>
      </c>
      <c r="AJ159" s="4">
        <f t="shared" si="27"/>
        <v>0.355401965334779</v>
      </c>
    </row>
    <row r="160" spans="1:36">
      <c r="A160" t="str">
        <f>"post-semis_procurement_archetype_"&amp;TEXT(ROUND(Table2691617[[#This Row],[2016]],3),"0.0")</f>
        <v>post-semis_procurement_archetype_4.5</v>
      </c>
      <c r="B160" s="4">
        <f t="shared" si="24"/>
        <v>4.5</v>
      </c>
      <c r="C160" s="4">
        <f t="shared" si="29"/>
        <v>4.5</v>
      </c>
      <c r="D160" s="4">
        <f t="shared" si="29"/>
        <v>4.5</v>
      </c>
      <c r="E160" s="4">
        <f t="shared" si="29"/>
        <v>4.38887084170017</v>
      </c>
      <c r="F160" s="4">
        <f t="shared" si="29"/>
        <v>4.12020962031951</v>
      </c>
      <c r="G160" s="4">
        <f t="shared" si="29"/>
        <v>4.15776911576926</v>
      </c>
      <c r="H160" s="4">
        <f t="shared" si="29"/>
        <v>4.04115401145603</v>
      </c>
      <c r="I160" s="4">
        <f t="shared" si="29"/>
        <v>3.81557014702128</v>
      </c>
      <c r="J160" s="4">
        <f t="shared" si="29"/>
        <v>3.68884845275241</v>
      </c>
      <c r="K160" s="4">
        <f t="shared" si="29"/>
        <v>3.55876595455302</v>
      </c>
      <c r="L160" s="4">
        <f t="shared" si="29"/>
        <v>3.35328542458595</v>
      </c>
      <c r="M160" s="4">
        <f t="shared" si="29"/>
        <v>3.328346475835</v>
      </c>
      <c r="N160" s="4">
        <f t="shared" si="29"/>
        <v>3.15998045532828</v>
      </c>
      <c r="O160" s="4">
        <f t="shared" si="29"/>
        <v>2.98539889261687</v>
      </c>
      <c r="P160" s="4">
        <f t="shared" si="29"/>
        <v>2.77900735294847</v>
      </c>
      <c r="Q160" s="4">
        <f t="shared" si="29"/>
        <v>2.44576017406266</v>
      </c>
      <c r="R160" s="4">
        <f t="shared" si="29"/>
        <v>1.99619914837161</v>
      </c>
      <c r="S160" s="4">
        <f t="shared" si="28"/>
        <v>1.85283325154532</v>
      </c>
      <c r="T160" s="4">
        <f t="shared" si="28"/>
        <v>1.5411961485238</v>
      </c>
      <c r="U160" s="4">
        <f t="shared" si="28"/>
        <v>1.22713796713123</v>
      </c>
      <c r="V160" s="4">
        <f t="shared" si="28"/>
        <v>1.16377595368731</v>
      </c>
      <c r="W160" s="4">
        <f t="shared" si="28"/>
        <v>0.972591641266718</v>
      </c>
      <c r="X160" s="4">
        <f t="shared" si="28"/>
        <v>0.875576402292725</v>
      </c>
      <c r="Y160" s="4">
        <f t="shared" si="28"/>
        <v>0.774664284967846</v>
      </c>
      <c r="Z160" s="4">
        <f t="shared" si="28"/>
        <v>0.758895673296968</v>
      </c>
      <c r="AA160" s="4">
        <f t="shared" si="28"/>
        <v>0.710646702691987</v>
      </c>
      <c r="AB160" s="4">
        <f t="shared" si="28"/>
        <v>0.640192956228823</v>
      </c>
      <c r="AC160" s="4">
        <f t="shared" si="28"/>
        <v>0.582489163659202</v>
      </c>
      <c r="AD160" s="4">
        <f t="shared" si="28"/>
        <v>0.572945421833682</v>
      </c>
      <c r="AE160" s="4">
        <f t="shared" si="28"/>
        <v>0.534024912420763</v>
      </c>
      <c r="AF160" s="4">
        <f t="shared" si="28"/>
        <v>0.508144668400682</v>
      </c>
      <c r="AG160" s="4">
        <f t="shared" si="28"/>
        <v>0.488736338816876</v>
      </c>
      <c r="AH160" s="4">
        <f t="shared" si="27"/>
        <v>0.416008812564138</v>
      </c>
      <c r="AI160" s="4">
        <f t="shared" si="27"/>
        <v>0.374969121397954</v>
      </c>
      <c r="AJ160" s="4">
        <f t="shared" si="27"/>
        <v>0.355401965334779</v>
      </c>
    </row>
    <row r="161" spans="1:36">
      <c r="A161" t="str">
        <f>"post-semis_procurement_archetype_"&amp;TEXT(ROUND(Table2691617[[#This Row],[2016]],3),"0.0")</f>
        <v>post-semis_procurement_archetype_4.4</v>
      </c>
      <c r="B161" s="4">
        <f t="shared" si="24"/>
        <v>4.4</v>
      </c>
      <c r="C161" s="4">
        <f t="shared" si="29"/>
        <v>4.4</v>
      </c>
      <c r="D161" s="4">
        <f t="shared" si="29"/>
        <v>4.4</v>
      </c>
      <c r="E161" s="4">
        <f t="shared" si="29"/>
        <v>4.29155214293542</v>
      </c>
      <c r="F161" s="4">
        <f t="shared" si="29"/>
        <v>4.02937312366782</v>
      </c>
      <c r="G161" s="4">
        <f t="shared" si="29"/>
        <v>4.06602639141743</v>
      </c>
      <c r="H161" s="4">
        <f t="shared" si="29"/>
        <v>3.9522249521047</v>
      </c>
      <c r="I161" s="4">
        <f t="shared" si="29"/>
        <v>3.73208392826748</v>
      </c>
      <c r="J161" s="4">
        <f t="shared" si="29"/>
        <v>3.60841974870109</v>
      </c>
      <c r="K161" s="4">
        <f t="shared" si="29"/>
        <v>3.48147585398294</v>
      </c>
      <c r="L161" s="4">
        <f t="shared" si="29"/>
        <v>3.28095311553747</v>
      </c>
      <c r="M161" s="4">
        <f t="shared" si="29"/>
        <v>3.25661588855887</v>
      </c>
      <c r="N161" s="4">
        <f t="shared" si="29"/>
        <v>3.09231216840308</v>
      </c>
      <c r="O161" s="4">
        <f t="shared" si="29"/>
        <v>2.92194287335312</v>
      </c>
      <c r="P161" s="4">
        <f t="shared" si="29"/>
        <v>2.72053110585906</v>
      </c>
      <c r="Q161" s="4">
        <f t="shared" si="29"/>
        <v>2.39532444564595</v>
      </c>
      <c r="R161" s="4">
        <f t="shared" si="29"/>
        <v>1.95661033494958</v>
      </c>
      <c r="S161" s="4">
        <f t="shared" si="28"/>
        <v>1.81670354068589</v>
      </c>
      <c r="T161" s="4">
        <f t="shared" si="28"/>
        <v>1.51258555291788</v>
      </c>
      <c r="U161" s="4">
        <f t="shared" si="28"/>
        <v>1.20610490205459</v>
      </c>
      <c r="V161" s="4">
        <f t="shared" si="28"/>
        <v>1.14427167410238</v>
      </c>
      <c r="W161" s="4">
        <f t="shared" si="28"/>
        <v>0.957700217037642</v>
      </c>
      <c r="X161" s="4">
        <f t="shared" si="28"/>
        <v>0.863025741586736</v>
      </c>
      <c r="Y161" s="4">
        <f t="shared" si="28"/>
        <v>0.764548410855897</v>
      </c>
      <c r="Z161" s="4">
        <f t="shared" si="28"/>
        <v>0.74916026097019</v>
      </c>
      <c r="AA161" s="4">
        <f t="shared" si="28"/>
        <v>0.702075431500282</v>
      </c>
      <c r="AB161" s="4">
        <f t="shared" si="28"/>
        <v>0.633321578389234</v>
      </c>
      <c r="AC161" s="4">
        <f t="shared" si="28"/>
        <v>0.577010050934034</v>
      </c>
      <c r="AD161" s="4">
        <f t="shared" si="28"/>
        <v>0.567696578527784</v>
      </c>
      <c r="AE161" s="4">
        <f t="shared" si="28"/>
        <v>0.529715135077049</v>
      </c>
      <c r="AF161" s="4">
        <f t="shared" si="28"/>
        <v>0.50445932420594</v>
      </c>
      <c r="AG161" s="4">
        <f t="shared" si="28"/>
        <v>0.485519274764659</v>
      </c>
      <c r="AH161" s="4">
        <f t="shared" si="27"/>
        <v>0.414546503150235</v>
      </c>
      <c r="AI161" s="4">
        <f t="shared" si="27"/>
        <v>0.374497009123145</v>
      </c>
      <c r="AJ161" s="4">
        <f t="shared" si="27"/>
        <v>0.355401965334779</v>
      </c>
    </row>
    <row r="162" spans="1:36">
      <c r="A162" t="str">
        <f>"post-semis_procurement_archetype_"&amp;TEXT(ROUND(Table2691617[[#This Row],[2016]],3),"0.0")</f>
        <v>post-semis_procurement_archetype_4.3</v>
      </c>
      <c r="B162" s="4">
        <f t="shared" si="24"/>
        <v>4.3</v>
      </c>
      <c r="C162" s="4">
        <f t="shared" si="29"/>
        <v>4.3</v>
      </c>
      <c r="D162" s="4">
        <f t="shared" si="29"/>
        <v>4.3</v>
      </c>
      <c r="E162" s="4">
        <f t="shared" si="29"/>
        <v>4.19423344417068</v>
      </c>
      <c r="F162" s="4">
        <f t="shared" si="29"/>
        <v>3.93853662701613</v>
      </c>
      <c r="G162" s="4">
        <f t="shared" si="29"/>
        <v>3.97428366706559</v>
      </c>
      <c r="H162" s="4">
        <f t="shared" si="29"/>
        <v>3.86329589275338</v>
      </c>
      <c r="I162" s="4">
        <f t="shared" si="29"/>
        <v>3.64859770951367</v>
      </c>
      <c r="J162" s="4">
        <f t="shared" si="29"/>
        <v>3.52799104464977</v>
      </c>
      <c r="K162" s="4">
        <f t="shared" si="29"/>
        <v>3.40418575341286</v>
      </c>
      <c r="L162" s="4">
        <f t="shared" si="29"/>
        <v>3.20862080648899</v>
      </c>
      <c r="M162" s="4">
        <f t="shared" si="29"/>
        <v>3.18488530128274</v>
      </c>
      <c r="N162" s="4">
        <f t="shared" si="29"/>
        <v>3.02464388147787</v>
      </c>
      <c r="O162" s="4">
        <f t="shared" si="29"/>
        <v>2.85848685408937</v>
      </c>
      <c r="P162" s="4">
        <f t="shared" si="29"/>
        <v>2.66205485876965</v>
      </c>
      <c r="Q162" s="4">
        <f t="shared" si="29"/>
        <v>2.34488871722924</v>
      </c>
      <c r="R162" s="4">
        <f t="shared" si="29"/>
        <v>1.91702152152755</v>
      </c>
      <c r="S162" s="4">
        <f t="shared" si="28"/>
        <v>1.78057382982645</v>
      </c>
      <c r="T162" s="4">
        <f t="shared" si="28"/>
        <v>1.48397495731195</v>
      </c>
      <c r="U162" s="4">
        <f t="shared" si="28"/>
        <v>1.18507183697795</v>
      </c>
      <c r="V162" s="4">
        <f t="shared" si="28"/>
        <v>1.12476739451746</v>
      </c>
      <c r="W162" s="4">
        <f t="shared" si="28"/>
        <v>0.942808792808566</v>
      </c>
      <c r="X162" s="4">
        <f t="shared" si="28"/>
        <v>0.850475080880746</v>
      </c>
      <c r="Y162" s="4">
        <f t="shared" si="28"/>
        <v>0.754432536743947</v>
      </c>
      <c r="Z162" s="4">
        <f t="shared" si="28"/>
        <v>0.739424848643412</v>
      </c>
      <c r="AA162" s="4">
        <f t="shared" si="28"/>
        <v>0.693504160308578</v>
      </c>
      <c r="AB162" s="4">
        <f t="shared" si="28"/>
        <v>0.626450200549644</v>
      </c>
      <c r="AC162" s="4">
        <f t="shared" si="28"/>
        <v>0.571530938208865</v>
      </c>
      <c r="AD162" s="4">
        <f t="shared" si="28"/>
        <v>0.562447735221886</v>
      </c>
      <c r="AE162" s="4">
        <f t="shared" si="28"/>
        <v>0.525405357733336</v>
      </c>
      <c r="AF162" s="4">
        <f t="shared" si="28"/>
        <v>0.500773980011199</v>
      </c>
      <c r="AG162" s="4">
        <f t="shared" si="28"/>
        <v>0.482302210712443</v>
      </c>
      <c r="AH162" s="4">
        <f t="shared" si="27"/>
        <v>0.413084193736331</v>
      </c>
      <c r="AI162" s="4">
        <f t="shared" si="27"/>
        <v>0.374024896848335</v>
      </c>
      <c r="AJ162" s="4">
        <f t="shared" si="27"/>
        <v>0.355401965334779</v>
      </c>
    </row>
    <row r="163" spans="1:36">
      <c r="A163" t="str">
        <f>"post-semis_procurement_archetype_"&amp;TEXT(ROUND(Table2691617[[#This Row],[2016]],3),"0.0")</f>
        <v>post-semis_procurement_archetype_4.2</v>
      </c>
      <c r="B163" s="4">
        <f t="shared" si="24"/>
        <v>4.2</v>
      </c>
      <c r="C163" s="4">
        <f t="shared" si="29"/>
        <v>4.2</v>
      </c>
      <c r="D163" s="4">
        <f t="shared" si="29"/>
        <v>4.2</v>
      </c>
      <c r="E163" s="4">
        <f t="shared" si="29"/>
        <v>4.09691474540593</v>
      </c>
      <c r="F163" s="4">
        <f t="shared" si="29"/>
        <v>3.84770013036444</v>
      </c>
      <c r="G163" s="4">
        <f t="shared" si="29"/>
        <v>3.88254094271376</v>
      </c>
      <c r="H163" s="4">
        <f t="shared" si="29"/>
        <v>3.77436683340206</v>
      </c>
      <c r="I163" s="4">
        <f t="shared" si="29"/>
        <v>3.56511149075987</v>
      </c>
      <c r="J163" s="4">
        <f t="shared" si="29"/>
        <v>3.44756234059845</v>
      </c>
      <c r="K163" s="4">
        <f t="shared" si="29"/>
        <v>3.32689565284278</v>
      </c>
      <c r="L163" s="4">
        <f t="shared" si="29"/>
        <v>3.13628849744051</v>
      </c>
      <c r="M163" s="4">
        <f t="shared" si="29"/>
        <v>3.11315471400662</v>
      </c>
      <c r="N163" s="4">
        <f t="shared" si="29"/>
        <v>2.95697559455267</v>
      </c>
      <c r="O163" s="4">
        <f t="shared" si="29"/>
        <v>2.79503083482563</v>
      </c>
      <c r="P163" s="4">
        <f t="shared" si="29"/>
        <v>2.60357861168024</v>
      </c>
      <c r="Q163" s="4">
        <f t="shared" si="29"/>
        <v>2.29445298881254</v>
      </c>
      <c r="R163" s="4">
        <f t="shared" si="29"/>
        <v>1.87743270810551</v>
      </c>
      <c r="S163" s="4">
        <f t="shared" si="28"/>
        <v>1.74444411896701</v>
      </c>
      <c r="T163" s="4">
        <f t="shared" si="28"/>
        <v>1.45536436170603</v>
      </c>
      <c r="U163" s="4">
        <f t="shared" si="28"/>
        <v>1.1640387719013</v>
      </c>
      <c r="V163" s="4">
        <f t="shared" si="28"/>
        <v>1.10526311493253</v>
      </c>
      <c r="W163" s="4">
        <f t="shared" si="28"/>
        <v>0.92791736857949</v>
      </c>
      <c r="X163" s="4">
        <f t="shared" si="28"/>
        <v>0.837924420174756</v>
      </c>
      <c r="Y163" s="4">
        <f t="shared" si="28"/>
        <v>0.744316662631998</v>
      </c>
      <c r="Z163" s="4">
        <f t="shared" si="28"/>
        <v>0.729689436316634</v>
      </c>
      <c r="AA163" s="4">
        <f t="shared" si="28"/>
        <v>0.684932889116874</v>
      </c>
      <c r="AB163" s="4">
        <f t="shared" si="28"/>
        <v>0.619578822710055</v>
      </c>
      <c r="AC163" s="4">
        <f t="shared" si="28"/>
        <v>0.566051825483697</v>
      </c>
      <c r="AD163" s="4">
        <f t="shared" si="28"/>
        <v>0.557198891915988</v>
      </c>
      <c r="AE163" s="4">
        <f t="shared" si="28"/>
        <v>0.521095580389623</v>
      </c>
      <c r="AF163" s="4">
        <f t="shared" si="28"/>
        <v>0.497088635816457</v>
      </c>
      <c r="AG163" s="4">
        <f t="shared" si="28"/>
        <v>0.479085146660226</v>
      </c>
      <c r="AH163" s="4">
        <f t="shared" si="27"/>
        <v>0.411621884322428</v>
      </c>
      <c r="AI163" s="4">
        <f t="shared" si="27"/>
        <v>0.373552784573525</v>
      </c>
      <c r="AJ163" s="4">
        <f t="shared" si="27"/>
        <v>0.355401965334779</v>
      </c>
    </row>
    <row r="164" spans="1:36">
      <c r="A164" t="str">
        <f>"post-semis_procurement_archetype_"&amp;TEXT(ROUND(Table2691617[[#This Row],[2016]],3),"0.0")</f>
        <v>post-semis_procurement_archetype_4.1</v>
      </c>
      <c r="B164" s="4">
        <f t="shared" si="24"/>
        <v>4.1</v>
      </c>
      <c r="C164" s="4">
        <f t="shared" si="29"/>
        <v>4.1</v>
      </c>
      <c r="D164" s="4">
        <f t="shared" si="29"/>
        <v>4.1</v>
      </c>
      <c r="E164" s="4">
        <f t="shared" si="29"/>
        <v>3.99959604664119</v>
      </c>
      <c r="F164" s="4">
        <f t="shared" si="29"/>
        <v>3.75686363371274</v>
      </c>
      <c r="G164" s="4">
        <f t="shared" si="29"/>
        <v>3.79079821836192</v>
      </c>
      <c r="H164" s="4">
        <f t="shared" si="29"/>
        <v>3.68543777405073</v>
      </c>
      <c r="I164" s="4">
        <f t="shared" si="29"/>
        <v>3.48162527200606</v>
      </c>
      <c r="J164" s="4">
        <f t="shared" si="29"/>
        <v>3.36713363654714</v>
      </c>
      <c r="K164" s="4">
        <f t="shared" si="29"/>
        <v>3.24960555227271</v>
      </c>
      <c r="L164" s="4">
        <f t="shared" si="29"/>
        <v>3.06395618839204</v>
      </c>
      <c r="M164" s="4">
        <f t="shared" si="29"/>
        <v>3.04142412673049</v>
      </c>
      <c r="N164" s="4">
        <f t="shared" si="29"/>
        <v>2.88930730762747</v>
      </c>
      <c r="O164" s="4">
        <f t="shared" si="29"/>
        <v>2.73157481556188</v>
      </c>
      <c r="P164" s="4">
        <f t="shared" si="29"/>
        <v>2.54510236459083</v>
      </c>
      <c r="Q164" s="4">
        <f t="shared" si="29"/>
        <v>2.24401726039583</v>
      </c>
      <c r="R164" s="4">
        <f t="shared" si="29"/>
        <v>1.83784389468348</v>
      </c>
      <c r="S164" s="4">
        <f t="shared" si="28"/>
        <v>1.70831440810757</v>
      </c>
      <c r="T164" s="4">
        <f t="shared" si="28"/>
        <v>1.42675376610011</v>
      </c>
      <c r="U164" s="4">
        <f t="shared" si="28"/>
        <v>1.14300570682466</v>
      </c>
      <c r="V164" s="4">
        <f t="shared" si="28"/>
        <v>1.0857588353476</v>
      </c>
      <c r="W164" s="4">
        <f t="shared" si="28"/>
        <v>0.913025944350414</v>
      </c>
      <c r="X164" s="4">
        <f t="shared" si="28"/>
        <v>0.825373759468767</v>
      </c>
      <c r="Y164" s="4">
        <f t="shared" si="28"/>
        <v>0.734200788520048</v>
      </c>
      <c r="Z164" s="4">
        <f t="shared" si="28"/>
        <v>0.719954023989857</v>
      </c>
      <c r="AA164" s="4">
        <f t="shared" si="28"/>
        <v>0.676361617925169</v>
      </c>
      <c r="AB164" s="4">
        <f t="shared" si="28"/>
        <v>0.612707444870465</v>
      </c>
      <c r="AC164" s="4">
        <f t="shared" si="28"/>
        <v>0.560572712758528</v>
      </c>
      <c r="AD164" s="4">
        <f t="shared" si="28"/>
        <v>0.55195004861009</v>
      </c>
      <c r="AE164" s="4">
        <f t="shared" si="28"/>
        <v>0.51678580304591</v>
      </c>
      <c r="AF164" s="4">
        <f t="shared" si="28"/>
        <v>0.493403291621716</v>
      </c>
      <c r="AG164" s="4">
        <f t="shared" si="28"/>
        <v>0.475868082608009</v>
      </c>
      <c r="AH164" s="4">
        <f t="shared" si="27"/>
        <v>0.410159574908525</v>
      </c>
      <c r="AI164" s="4">
        <f t="shared" si="27"/>
        <v>0.373080672298715</v>
      </c>
      <c r="AJ164" s="4">
        <f t="shared" si="27"/>
        <v>0.355401965334779</v>
      </c>
    </row>
    <row r="165" spans="1:36">
      <c r="A165" t="str">
        <f>"post-semis_procurement_archetype_"&amp;TEXT(ROUND(Table2691617[[#This Row],[2016]],3),"0.0")</f>
        <v>post-semis_procurement_archetype_4.0</v>
      </c>
      <c r="B165" s="4">
        <f t="shared" si="24"/>
        <v>4</v>
      </c>
      <c r="C165" s="4">
        <f t="shared" si="29"/>
        <v>4</v>
      </c>
      <c r="D165" s="4">
        <f t="shared" si="29"/>
        <v>4</v>
      </c>
      <c r="E165" s="4">
        <f t="shared" si="29"/>
        <v>3.90227734787644</v>
      </c>
      <c r="F165" s="4">
        <f t="shared" si="29"/>
        <v>3.66602713706105</v>
      </c>
      <c r="G165" s="4">
        <f t="shared" si="29"/>
        <v>3.69905549401009</v>
      </c>
      <c r="H165" s="4">
        <f t="shared" si="29"/>
        <v>3.59650871469941</v>
      </c>
      <c r="I165" s="4">
        <f t="shared" si="29"/>
        <v>3.39813905325226</v>
      </c>
      <c r="J165" s="4">
        <f t="shared" si="29"/>
        <v>3.28670493249582</v>
      </c>
      <c r="K165" s="4">
        <f t="shared" si="29"/>
        <v>3.17231545170263</v>
      </c>
      <c r="L165" s="4">
        <f t="shared" si="29"/>
        <v>2.99162387934356</v>
      </c>
      <c r="M165" s="4">
        <f t="shared" si="29"/>
        <v>2.96969353945436</v>
      </c>
      <c r="N165" s="4">
        <f t="shared" si="29"/>
        <v>2.82163902070227</v>
      </c>
      <c r="O165" s="4">
        <f t="shared" si="29"/>
        <v>2.66811879629813</v>
      </c>
      <c r="P165" s="4">
        <f t="shared" si="29"/>
        <v>2.48662611750142</v>
      </c>
      <c r="Q165" s="4">
        <f t="shared" si="29"/>
        <v>2.19358153197913</v>
      </c>
      <c r="R165" s="4">
        <f t="shared" si="29"/>
        <v>1.79825508126145</v>
      </c>
      <c r="S165" s="4">
        <f t="shared" si="28"/>
        <v>1.67218469724813</v>
      </c>
      <c r="T165" s="4">
        <f t="shared" si="28"/>
        <v>1.39814317049419</v>
      </c>
      <c r="U165" s="4">
        <f t="shared" si="28"/>
        <v>1.12197264174801</v>
      </c>
      <c r="V165" s="4">
        <f t="shared" si="28"/>
        <v>1.06625455576267</v>
      </c>
      <c r="W165" s="4">
        <f t="shared" si="28"/>
        <v>0.898134520121338</v>
      </c>
      <c r="X165" s="4">
        <f t="shared" si="28"/>
        <v>0.812823098762777</v>
      </c>
      <c r="Y165" s="4">
        <f t="shared" si="28"/>
        <v>0.724084914408099</v>
      </c>
      <c r="Z165" s="4">
        <f t="shared" si="28"/>
        <v>0.710218611663079</v>
      </c>
      <c r="AA165" s="4">
        <f t="shared" si="28"/>
        <v>0.667790346733465</v>
      </c>
      <c r="AB165" s="4">
        <f t="shared" si="28"/>
        <v>0.605836067030876</v>
      </c>
      <c r="AC165" s="4">
        <f t="shared" si="28"/>
        <v>0.55509360003336</v>
      </c>
      <c r="AD165" s="4">
        <f t="shared" si="28"/>
        <v>0.546701205304192</v>
      </c>
      <c r="AE165" s="4">
        <f t="shared" si="28"/>
        <v>0.512476025702197</v>
      </c>
      <c r="AF165" s="4">
        <f t="shared" si="28"/>
        <v>0.489717947426974</v>
      </c>
      <c r="AG165" s="4">
        <f t="shared" si="28"/>
        <v>0.472651018555792</v>
      </c>
      <c r="AH165" s="4">
        <f t="shared" si="27"/>
        <v>0.408697265494621</v>
      </c>
      <c r="AI165" s="4">
        <f t="shared" si="27"/>
        <v>0.372608560023906</v>
      </c>
      <c r="AJ165" s="4">
        <f t="shared" si="27"/>
        <v>0.355401965334779</v>
      </c>
    </row>
    <row r="166" spans="1:36">
      <c r="A166" t="str">
        <f>"post-semis_procurement_archetype_"&amp;TEXT(ROUND(Table2691617[[#This Row],[2016]],3),"0.0")</f>
        <v>post-semis_procurement_archetype_3.9</v>
      </c>
      <c r="B166" s="4">
        <f t="shared" si="24"/>
        <v>3.9</v>
      </c>
      <c r="C166" s="4">
        <f t="shared" si="29"/>
        <v>3.9</v>
      </c>
      <c r="D166" s="4">
        <f t="shared" si="29"/>
        <v>3.9</v>
      </c>
      <c r="E166" s="4">
        <f t="shared" si="29"/>
        <v>3.8049586491117</v>
      </c>
      <c r="F166" s="4">
        <f t="shared" si="29"/>
        <v>3.57519064040936</v>
      </c>
      <c r="G166" s="4">
        <f t="shared" si="29"/>
        <v>3.60731276965825</v>
      </c>
      <c r="H166" s="4">
        <f t="shared" si="29"/>
        <v>3.50757965534808</v>
      </c>
      <c r="I166" s="4">
        <f t="shared" si="29"/>
        <v>3.31465283449845</v>
      </c>
      <c r="J166" s="4">
        <f t="shared" si="29"/>
        <v>3.2062762284445</v>
      </c>
      <c r="K166" s="4">
        <f t="shared" si="29"/>
        <v>3.09502535113255</v>
      </c>
      <c r="L166" s="4">
        <f t="shared" si="29"/>
        <v>2.91929157029508</v>
      </c>
      <c r="M166" s="4">
        <f t="shared" si="29"/>
        <v>2.89796295217823</v>
      </c>
      <c r="N166" s="4">
        <f t="shared" si="29"/>
        <v>2.75397073377707</v>
      </c>
      <c r="O166" s="4">
        <f t="shared" si="29"/>
        <v>2.60466277703438</v>
      </c>
      <c r="P166" s="4">
        <f t="shared" si="29"/>
        <v>2.42814987041201</v>
      </c>
      <c r="Q166" s="4">
        <f t="shared" si="29"/>
        <v>2.14314580356242</v>
      </c>
      <c r="R166" s="4">
        <f t="shared" si="29"/>
        <v>1.75866626783942</v>
      </c>
      <c r="S166" s="4">
        <f t="shared" si="28"/>
        <v>1.63605498638869</v>
      </c>
      <c r="T166" s="4">
        <f t="shared" si="28"/>
        <v>1.36953257488827</v>
      </c>
      <c r="U166" s="4">
        <f t="shared" si="28"/>
        <v>1.10093957667137</v>
      </c>
      <c r="V166" s="4">
        <f t="shared" si="28"/>
        <v>1.04675027617774</v>
      </c>
      <c r="W166" s="4">
        <f t="shared" si="28"/>
        <v>0.883243095892263</v>
      </c>
      <c r="X166" s="4">
        <f t="shared" si="28"/>
        <v>0.800272438056787</v>
      </c>
      <c r="Y166" s="4">
        <f t="shared" si="28"/>
        <v>0.713969040296149</v>
      </c>
      <c r="Z166" s="4">
        <f t="shared" si="28"/>
        <v>0.700483199336301</v>
      </c>
      <c r="AA166" s="4">
        <f t="shared" si="28"/>
        <v>0.65921907554176</v>
      </c>
      <c r="AB166" s="4">
        <f t="shared" si="28"/>
        <v>0.598964689191287</v>
      </c>
      <c r="AC166" s="4">
        <f t="shared" si="28"/>
        <v>0.549614487308192</v>
      </c>
      <c r="AD166" s="4">
        <f t="shared" si="28"/>
        <v>0.541452361998294</v>
      </c>
      <c r="AE166" s="4">
        <f t="shared" si="28"/>
        <v>0.508166248358483</v>
      </c>
      <c r="AF166" s="4">
        <f t="shared" si="28"/>
        <v>0.486032603232233</v>
      </c>
      <c r="AG166" s="4">
        <f t="shared" si="28"/>
        <v>0.469433954503576</v>
      </c>
      <c r="AH166" s="4">
        <f t="shared" si="27"/>
        <v>0.407234956080718</v>
      </c>
      <c r="AI166" s="4">
        <f t="shared" si="27"/>
        <v>0.372136447749096</v>
      </c>
      <c r="AJ166" s="4">
        <f t="shared" si="27"/>
        <v>0.355401965334779</v>
      </c>
    </row>
    <row r="167" spans="1:36">
      <c r="A167" t="str">
        <f>"post-semis_procurement_archetype_"&amp;TEXT(ROUND(Table2691617[[#This Row],[2016]],3),"0.0")</f>
        <v>post-semis_procurement_archetype_3.8</v>
      </c>
      <c r="B167" s="4">
        <f t="shared" si="24"/>
        <v>3.8</v>
      </c>
      <c r="C167" s="4">
        <f t="shared" si="29"/>
        <v>3.8</v>
      </c>
      <c r="D167" s="4">
        <f t="shared" si="29"/>
        <v>3.8</v>
      </c>
      <c r="E167" s="4">
        <f t="shared" si="29"/>
        <v>3.70763995034695</v>
      </c>
      <c r="F167" s="4">
        <f t="shared" si="29"/>
        <v>3.48435414375767</v>
      </c>
      <c r="G167" s="4">
        <f t="shared" si="29"/>
        <v>3.51557004530642</v>
      </c>
      <c r="H167" s="4">
        <f t="shared" si="29"/>
        <v>3.41865059599676</v>
      </c>
      <c r="I167" s="4">
        <f t="shared" si="29"/>
        <v>3.23116661574465</v>
      </c>
      <c r="J167" s="4">
        <f t="shared" si="29"/>
        <v>3.12584752439318</v>
      </c>
      <c r="K167" s="4">
        <f t="shared" si="29"/>
        <v>3.01773525056247</v>
      </c>
      <c r="L167" s="4">
        <f t="shared" si="29"/>
        <v>2.84695926124661</v>
      </c>
      <c r="M167" s="4">
        <f t="shared" si="29"/>
        <v>2.8262323649021</v>
      </c>
      <c r="N167" s="4">
        <f t="shared" si="29"/>
        <v>2.68630244685187</v>
      </c>
      <c r="O167" s="4">
        <f t="shared" si="29"/>
        <v>2.54120675777063</v>
      </c>
      <c r="P167" s="4">
        <f t="shared" si="29"/>
        <v>2.3696736233226</v>
      </c>
      <c r="Q167" s="4">
        <f t="shared" si="29"/>
        <v>2.09271007514572</v>
      </c>
      <c r="R167" s="4">
        <f t="shared" si="29"/>
        <v>1.71907745441739</v>
      </c>
      <c r="S167" s="4">
        <f t="shared" si="28"/>
        <v>1.59992527552925</v>
      </c>
      <c r="T167" s="4">
        <f t="shared" si="28"/>
        <v>1.34092197928235</v>
      </c>
      <c r="U167" s="4">
        <f t="shared" si="28"/>
        <v>1.07990651159472</v>
      </c>
      <c r="V167" s="4">
        <f t="shared" si="28"/>
        <v>1.02724599659282</v>
      </c>
      <c r="W167" s="4">
        <f t="shared" si="28"/>
        <v>0.868351671663187</v>
      </c>
      <c r="X167" s="4">
        <f t="shared" si="28"/>
        <v>0.787721777350798</v>
      </c>
      <c r="Y167" s="4">
        <f t="shared" si="28"/>
        <v>0.7038531661842</v>
      </c>
      <c r="Z167" s="4">
        <f t="shared" si="28"/>
        <v>0.690747787009523</v>
      </c>
      <c r="AA167" s="4">
        <f t="shared" si="28"/>
        <v>0.650647804350056</v>
      </c>
      <c r="AB167" s="4">
        <f t="shared" si="28"/>
        <v>0.592093311351697</v>
      </c>
      <c r="AC167" s="4">
        <f t="shared" si="28"/>
        <v>0.544135374583023</v>
      </c>
      <c r="AD167" s="4">
        <f t="shared" si="28"/>
        <v>0.536203518692396</v>
      </c>
      <c r="AE167" s="4">
        <f t="shared" si="28"/>
        <v>0.50385647101477</v>
      </c>
      <c r="AF167" s="4">
        <f t="shared" si="28"/>
        <v>0.482347259037492</v>
      </c>
      <c r="AG167" s="4">
        <f t="shared" si="28"/>
        <v>0.466216890451359</v>
      </c>
      <c r="AH167" s="4">
        <f t="shared" si="27"/>
        <v>0.405772646666815</v>
      </c>
      <c r="AI167" s="4">
        <f t="shared" si="27"/>
        <v>0.371664335474286</v>
      </c>
      <c r="AJ167" s="4">
        <f t="shared" si="27"/>
        <v>0.355401965334779</v>
      </c>
    </row>
    <row r="168" spans="1:36">
      <c r="A168" t="str">
        <f>"post-semis_procurement_archetype_"&amp;TEXT(ROUND(Table2691617[[#This Row],[2016]],3),"0.0")</f>
        <v>post-semis_procurement_archetype_3.7</v>
      </c>
      <c r="B168" s="4">
        <f t="shared" si="24"/>
        <v>3.7</v>
      </c>
      <c r="C168" s="4">
        <f t="shared" si="29"/>
        <v>3.7</v>
      </c>
      <c r="D168" s="4">
        <f t="shared" si="29"/>
        <v>3.7</v>
      </c>
      <c r="E168" s="4">
        <f t="shared" si="29"/>
        <v>3.61032125158221</v>
      </c>
      <c r="F168" s="4">
        <f t="shared" si="29"/>
        <v>3.39351764710598</v>
      </c>
      <c r="G168" s="4">
        <f t="shared" si="29"/>
        <v>3.42382732095458</v>
      </c>
      <c r="H168" s="4">
        <f t="shared" si="29"/>
        <v>3.32972153664544</v>
      </c>
      <c r="I168" s="4">
        <f t="shared" si="29"/>
        <v>3.14768039699084</v>
      </c>
      <c r="J168" s="4">
        <f t="shared" si="29"/>
        <v>3.04541882034186</v>
      </c>
      <c r="K168" s="4">
        <f t="shared" si="29"/>
        <v>2.94044514999239</v>
      </c>
      <c r="L168" s="4">
        <f t="shared" si="29"/>
        <v>2.77462695219813</v>
      </c>
      <c r="M168" s="4">
        <f t="shared" si="29"/>
        <v>2.75450177762598</v>
      </c>
      <c r="N168" s="4">
        <f t="shared" si="29"/>
        <v>2.61863415992667</v>
      </c>
      <c r="O168" s="4">
        <f t="shared" si="29"/>
        <v>2.47775073850689</v>
      </c>
      <c r="P168" s="4">
        <f t="shared" si="29"/>
        <v>2.31119737623319</v>
      </c>
      <c r="Q168" s="4">
        <f t="shared" si="29"/>
        <v>2.04227434672901</v>
      </c>
      <c r="R168" s="4">
        <f t="shared" si="29"/>
        <v>1.67948864099535</v>
      </c>
      <c r="S168" s="4">
        <f t="shared" si="28"/>
        <v>1.56379556466981</v>
      </c>
      <c r="T168" s="4">
        <f t="shared" si="28"/>
        <v>1.31231138367643</v>
      </c>
      <c r="U168" s="4">
        <f t="shared" si="28"/>
        <v>1.05887344651808</v>
      </c>
      <c r="V168" s="4">
        <f t="shared" si="28"/>
        <v>1.00774171700789</v>
      </c>
      <c r="W168" s="4">
        <f t="shared" si="28"/>
        <v>0.853460247434111</v>
      </c>
      <c r="X168" s="4">
        <f t="shared" si="28"/>
        <v>0.775171116644808</v>
      </c>
      <c r="Y168" s="4">
        <f t="shared" si="28"/>
        <v>0.69373729207225</v>
      </c>
      <c r="Z168" s="4">
        <f t="shared" si="28"/>
        <v>0.681012374682745</v>
      </c>
      <c r="AA168" s="4">
        <f t="shared" si="28"/>
        <v>0.642076533158351</v>
      </c>
      <c r="AB168" s="4">
        <f t="shared" si="28"/>
        <v>0.585221933512108</v>
      </c>
      <c r="AC168" s="4">
        <f t="shared" si="28"/>
        <v>0.538656261857855</v>
      </c>
      <c r="AD168" s="4">
        <f t="shared" si="28"/>
        <v>0.530954675386498</v>
      </c>
      <c r="AE168" s="4">
        <f t="shared" si="28"/>
        <v>0.499546693671057</v>
      </c>
      <c r="AF168" s="4">
        <f t="shared" si="28"/>
        <v>0.47866191484275</v>
      </c>
      <c r="AG168" s="4">
        <f t="shared" si="28"/>
        <v>0.462999826399142</v>
      </c>
      <c r="AH168" s="4">
        <f t="shared" si="27"/>
        <v>0.404310337252912</v>
      </c>
      <c r="AI168" s="4">
        <f t="shared" si="27"/>
        <v>0.371192223199477</v>
      </c>
      <c r="AJ168" s="4">
        <f t="shared" si="27"/>
        <v>0.355401965334779</v>
      </c>
    </row>
    <row r="169" spans="1:36">
      <c r="A169" t="str">
        <f>"post-semis_procurement_archetype_"&amp;TEXT(ROUND(Table2691617[[#This Row],[2016]],3),"0.0")</f>
        <v>post-semis_procurement_archetype_3.6</v>
      </c>
      <c r="B169" s="4">
        <f t="shared" si="24"/>
        <v>3.6</v>
      </c>
      <c r="C169" s="4">
        <f t="shared" si="29"/>
        <v>3.6</v>
      </c>
      <c r="D169" s="4">
        <f t="shared" si="29"/>
        <v>3.6</v>
      </c>
      <c r="E169" s="4">
        <f t="shared" si="29"/>
        <v>3.51300255281746</v>
      </c>
      <c r="F169" s="4">
        <f t="shared" si="29"/>
        <v>3.30268115045429</v>
      </c>
      <c r="G169" s="4">
        <f t="shared" si="29"/>
        <v>3.33208459660275</v>
      </c>
      <c r="H169" s="4">
        <f t="shared" si="29"/>
        <v>3.24079247729411</v>
      </c>
      <c r="I169" s="4">
        <f t="shared" si="29"/>
        <v>3.06419417823704</v>
      </c>
      <c r="J169" s="4">
        <f t="shared" si="29"/>
        <v>2.96499011629055</v>
      </c>
      <c r="K169" s="4">
        <f t="shared" si="29"/>
        <v>2.86315504942231</v>
      </c>
      <c r="L169" s="4">
        <f t="shared" si="29"/>
        <v>2.70229464314965</v>
      </c>
      <c r="M169" s="4">
        <f t="shared" si="29"/>
        <v>2.68277119034985</v>
      </c>
      <c r="N169" s="4">
        <f t="shared" si="29"/>
        <v>2.55096587300147</v>
      </c>
      <c r="O169" s="4">
        <f t="shared" si="29"/>
        <v>2.41429471924314</v>
      </c>
      <c r="P169" s="4">
        <f t="shared" si="29"/>
        <v>2.25272112914378</v>
      </c>
      <c r="Q169" s="4">
        <f t="shared" si="29"/>
        <v>1.9918386183123</v>
      </c>
      <c r="R169" s="4">
        <f t="shared" si="29"/>
        <v>1.63989982757332</v>
      </c>
      <c r="S169" s="4">
        <f t="shared" si="28"/>
        <v>1.52766585381037</v>
      </c>
      <c r="T169" s="4">
        <f t="shared" si="28"/>
        <v>1.28370078807051</v>
      </c>
      <c r="U169" s="4">
        <f t="shared" si="28"/>
        <v>1.03784038144144</v>
      </c>
      <c r="V169" s="4">
        <f t="shared" si="28"/>
        <v>0.98823743742296</v>
      </c>
      <c r="W169" s="4">
        <f t="shared" si="28"/>
        <v>0.838568823205035</v>
      </c>
      <c r="X169" s="4">
        <f t="shared" si="28"/>
        <v>0.762620455938819</v>
      </c>
      <c r="Y169" s="4">
        <f t="shared" si="28"/>
        <v>0.683621417960301</v>
      </c>
      <c r="Z169" s="4">
        <f t="shared" si="28"/>
        <v>0.671276962355967</v>
      </c>
      <c r="AA169" s="4">
        <f t="shared" si="28"/>
        <v>0.633505261966647</v>
      </c>
      <c r="AB169" s="4">
        <f t="shared" si="28"/>
        <v>0.578350555672518</v>
      </c>
      <c r="AC169" s="4">
        <f t="shared" si="28"/>
        <v>0.533177149132686</v>
      </c>
      <c r="AD169" s="4">
        <f t="shared" si="28"/>
        <v>0.5257058320806</v>
      </c>
      <c r="AE169" s="4">
        <f t="shared" si="28"/>
        <v>0.495236916327344</v>
      </c>
      <c r="AF169" s="4">
        <f t="shared" si="28"/>
        <v>0.474976570648009</v>
      </c>
      <c r="AG169" s="4">
        <f t="shared" si="28"/>
        <v>0.459782762346925</v>
      </c>
      <c r="AH169" s="4">
        <f t="shared" si="27"/>
        <v>0.402848027839008</v>
      </c>
      <c r="AI169" s="4">
        <f t="shared" si="27"/>
        <v>0.370720110924667</v>
      </c>
      <c r="AJ169" s="4">
        <f t="shared" si="27"/>
        <v>0.355401965334779</v>
      </c>
    </row>
    <row r="170" spans="1:36">
      <c r="A170" t="str">
        <f>"post-semis_procurement_archetype_"&amp;TEXT(ROUND(Table2691617[[#This Row],[2016]],3),"0.0")</f>
        <v>post-semis_procurement_archetype_3.5</v>
      </c>
      <c r="B170" s="4">
        <f t="shared" si="24"/>
        <v>3.5</v>
      </c>
      <c r="C170" s="4">
        <f t="shared" si="29"/>
        <v>3.5</v>
      </c>
      <c r="D170" s="4">
        <f t="shared" si="29"/>
        <v>3.5</v>
      </c>
      <c r="E170" s="4">
        <f t="shared" si="29"/>
        <v>3.41568385405272</v>
      </c>
      <c r="F170" s="4">
        <f t="shared" si="29"/>
        <v>3.2118446538026</v>
      </c>
      <c r="G170" s="4">
        <f t="shared" si="29"/>
        <v>3.24034187225091</v>
      </c>
      <c r="H170" s="4">
        <f t="shared" si="29"/>
        <v>3.15186341794279</v>
      </c>
      <c r="I170" s="4">
        <f t="shared" si="29"/>
        <v>2.98070795948323</v>
      </c>
      <c r="J170" s="4">
        <f t="shared" si="29"/>
        <v>2.88456141223923</v>
      </c>
      <c r="K170" s="4">
        <f t="shared" si="29"/>
        <v>2.78586494885224</v>
      </c>
      <c r="L170" s="4">
        <f t="shared" si="29"/>
        <v>2.62996233410117</v>
      </c>
      <c r="M170" s="4">
        <f t="shared" si="29"/>
        <v>2.61104060307372</v>
      </c>
      <c r="N170" s="4">
        <f t="shared" si="29"/>
        <v>2.48329758607627</v>
      </c>
      <c r="O170" s="4">
        <f t="shared" si="29"/>
        <v>2.35083869997939</v>
      </c>
      <c r="P170" s="4">
        <f t="shared" si="29"/>
        <v>2.19424488205437</v>
      </c>
      <c r="Q170" s="4">
        <f t="shared" si="29"/>
        <v>1.9414028898956</v>
      </c>
      <c r="R170" s="4">
        <f t="shared" si="29"/>
        <v>1.60031101415129</v>
      </c>
      <c r="S170" s="4">
        <f t="shared" si="28"/>
        <v>1.49153614295093</v>
      </c>
      <c r="T170" s="4">
        <f t="shared" si="28"/>
        <v>1.25509019246459</v>
      </c>
      <c r="U170" s="4">
        <f t="shared" si="28"/>
        <v>1.01680731636479</v>
      </c>
      <c r="V170" s="4">
        <f t="shared" si="28"/>
        <v>0.968733157838032</v>
      </c>
      <c r="W170" s="4">
        <f t="shared" si="28"/>
        <v>0.823677398975959</v>
      </c>
      <c r="X170" s="4">
        <f t="shared" si="28"/>
        <v>0.750069795232829</v>
      </c>
      <c r="Y170" s="4">
        <f t="shared" si="28"/>
        <v>0.673505543848351</v>
      </c>
      <c r="Z170" s="4">
        <f t="shared" si="28"/>
        <v>0.661541550029189</v>
      </c>
      <c r="AA170" s="4">
        <f t="shared" si="28"/>
        <v>0.624933990774942</v>
      </c>
      <c r="AB170" s="4">
        <f t="shared" si="28"/>
        <v>0.571479177832929</v>
      </c>
      <c r="AC170" s="4">
        <f t="shared" si="28"/>
        <v>0.527698036407518</v>
      </c>
      <c r="AD170" s="4">
        <f t="shared" si="28"/>
        <v>0.520456988774702</v>
      </c>
      <c r="AE170" s="4">
        <f t="shared" si="28"/>
        <v>0.490927138983631</v>
      </c>
      <c r="AF170" s="4">
        <f t="shared" si="28"/>
        <v>0.471291226453267</v>
      </c>
      <c r="AG170" s="4">
        <f t="shared" si="28"/>
        <v>0.456565698294708</v>
      </c>
      <c r="AH170" s="4">
        <f t="shared" si="27"/>
        <v>0.401385718425105</v>
      </c>
      <c r="AI170" s="4">
        <f t="shared" si="27"/>
        <v>0.370247998649857</v>
      </c>
      <c r="AJ170" s="4">
        <f t="shared" si="27"/>
        <v>0.355401965334779</v>
      </c>
    </row>
    <row r="171" spans="1:36">
      <c r="A171" t="str">
        <f>"post-semis_procurement_archetype_"&amp;TEXT(ROUND(Table2691617[[#This Row],[2016]],3),"0.0")</f>
        <v>post-semis_procurement_archetype_3.4</v>
      </c>
      <c r="B171" s="4">
        <f t="shared" si="24"/>
        <v>3.4</v>
      </c>
      <c r="C171" s="4">
        <f t="shared" si="29"/>
        <v>3.4</v>
      </c>
      <c r="D171" s="4">
        <f t="shared" si="29"/>
        <v>3.4</v>
      </c>
      <c r="E171" s="4">
        <f t="shared" si="29"/>
        <v>3.31836515528797</v>
      </c>
      <c r="F171" s="4">
        <f t="shared" si="29"/>
        <v>3.12100815715091</v>
      </c>
      <c r="G171" s="4">
        <f t="shared" si="29"/>
        <v>3.14859914789908</v>
      </c>
      <c r="H171" s="4">
        <f t="shared" si="29"/>
        <v>3.06293435859146</v>
      </c>
      <c r="I171" s="4">
        <f t="shared" si="29"/>
        <v>2.89722174072943</v>
      </c>
      <c r="J171" s="4">
        <f t="shared" si="29"/>
        <v>2.80413270818791</v>
      </c>
      <c r="K171" s="4">
        <f t="shared" si="29"/>
        <v>2.70857484828216</v>
      </c>
      <c r="L171" s="4">
        <f t="shared" si="29"/>
        <v>2.5576300250527</v>
      </c>
      <c r="M171" s="4">
        <f t="shared" si="29"/>
        <v>2.53931001579759</v>
      </c>
      <c r="N171" s="4">
        <f t="shared" si="29"/>
        <v>2.41562929915107</v>
      </c>
      <c r="O171" s="4">
        <f t="shared" si="29"/>
        <v>2.28738268071564</v>
      </c>
      <c r="P171" s="4">
        <f t="shared" si="29"/>
        <v>2.13576863496496</v>
      </c>
      <c r="Q171" s="4">
        <f t="shared" si="29"/>
        <v>1.89096716147889</v>
      </c>
      <c r="R171" s="4">
        <f t="shared" si="29"/>
        <v>1.56072220072926</v>
      </c>
      <c r="S171" s="4">
        <f t="shared" si="28"/>
        <v>1.45540643209149</v>
      </c>
      <c r="T171" s="4">
        <f t="shared" si="28"/>
        <v>1.22647959685867</v>
      </c>
      <c r="U171" s="4">
        <f t="shared" si="28"/>
        <v>0.995774251288147</v>
      </c>
      <c r="V171" s="4">
        <f t="shared" si="28"/>
        <v>0.949228878253104</v>
      </c>
      <c r="W171" s="4">
        <f t="shared" si="28"/>
        <v>0.808785974746883</v>
      </c>
      <c r="X171" s="4">
        <f t="shared" si="28"/>
        <v>0.737519134526839</v>
      </c>
      <c r="Y171" s="4">
        <f t="shared" si="28"/>
        <v>0.663389669736402</v>
      </c>
      <c r="Z171" s="4">
        <f t="shared" si="28"/>
        <v>0.651806137702412</v>
      </c>
      <c r="AA171" s="4">
        <f t="shared" si="28"/>
        <v>0.616362719583238</v>
      </c>
      <c r="AB171" s="4">
        <f t="shared" si="28"/>
        <v>0.564607799993339</v>
      </c>
      <c r="AC171" s="4">
        <f t="shared" si="28"/>
        <v>0.522218923682349</v>
      </c>
      <c r="AD171" s="4">
        <f t="shared" si="28"/>
        <v>0.515208145468805</v>
      </c>
      <c r="AE171" s="4">
        <f t="shared" si="28"/>
        <v>0.486617361639917</v>
      </c>
      <c r="AF171" s="4">
        <f t="shared" si="28"/>
        <v>0.467605882258526</v>
      </c>
      <c r="AG171" s="4">
        <f t="shared" si="28"/>
        <v>0.453348634242492</v>
      </c>
      <c r="AH171" s="4">
        <f t="shared" si="27"/>
        <v>0.399923409011202</v>
      </c>
      <c r="AI171" s="4">
        <f t="shared" si="27"/>
        <v>0.369775886375048</v>
      </c>
      <c r="AJ171" s="4">
        <f t="shared" si="27"/>
        <v>0.355401965334779</v>
      </c>
    </row>
    <row r="172" spans="1:36">
      <c r="A172" t="str">
        <f>"post-semis_procurement_archetype_"&amp;TEXT(ROUND(Table2691617[[#This Row],[2016]],3),"0.0")</f>
        <v>post-semis_procurement_archetype_3.3</v>
      </c>
      <c r="B172" s="4">
        <f t="shared" si="24"/>
        <v>3.3</v>
      </c>
      <c r="C172" s="4">
        <f t="shared" si="29"/>
        <v>3.3</v>
      </c>
      <c r="D172" s="4">
        <f t="shared" si="29"/>
        <v>3.3</v>
      </c>
      <c r="E172" s="4">
        <f t="shared" si="29"/>
        <v>3.22104645652323</v>
      </c>
      <c r="F172" s="4">
        <f t="shared" si="29"/>
        <v>3.03017166049922</v>
      </c>
      <c r="G172" s="4">
        <f t="shared" si="29"/>
        <v>3.05685642354724</v>
      </c>
      <c r="H172" s="4">
        <f t="shared" si="29"/>
        <v>2.97400529924014</v>
      </c>
      <c r="I172" s="4">
        <f t="shared" si="29"/>
        <v>2.81373552197563</v>
      </c>
      <c r="J172" s="4">
        <f t="shared" si="29"/>
        <v>2.72370400413659</v>
      </c>
      <c r="K172" s="4">
        <f t="shared" si="29"/>
        <v>2.63128474771208</v>
      </c>
      <c r="L172" s="4">
        <f t="shared" si="29"/>
        <v>2.48529771600422</v>
      </c>
      <c r="M172" s="4">
        <f t="shared" si="29"/>
        <v>2.46757942852146</v>
      </c>
      <c r="N172" s="4">
        <f t="shared" si="29"/>
        <v>2.34796101222587</v>
      </c>
      <c r="O172" s="4">
        <f t="shared" si="29"/>
        <v>2.22392666145189</v>
      </c>
      <c r="P172" s="4">
        <f t="shared" si="29"/>
        <v>2.07729238787555</v>
      </c>
      <c r="Q172" s="4">
        <f t="shared" si="29"/>
        <v>1.84053143306219</v>
      </c>
      <c r="R172" s="4">
        <f t="shared" ref="R172:AG187" si="30">(($B172-$AJ$2)*((R$2-$AJ$2)/($B$2-$AJ$2)))+$AJ$2</f>
        <v>1.52113338730722</v>
      </c>
      <c r="S172" s="4">
        <f t="shared" si="30"/>
        <v>1.41927672123205</v>
      </c>
      <c r="T172" s="4">
        <f t="shared" si="30"/>
        <v>1.19786900125274</v>
      </c>
      <c r="U172" s="4">
        <f t="shared" si="30"/>
        <v>0.974741186211503</v>
      </c>
      <c r="V172" s="4">
        <f t="shared" si="30"/>
        <v>0.929724598668176</v>
      </c>
      <c r="W172" s="4">
        <f t="shared" si="30"/>
        <v>0.793894550517807</v>
      </c>
      <c r="X172" s="4">
        <f t="shared" si="30"/>
        <v>0.72496847382085</v>
      </c>
      <c r="Y172" s="4">
        <f t="shared" si="30"/>
        <v>0.653273795624452</v>
      </c>
      <c r="Z172" s="4">
        <f t="shared" si="30"/>
        <v>0.642070725375634</v>
      </c>
      <c r="AA172" s="4">
        <f t="shared" si="30"/>
        <v>0.607791448391534</v>
      </c>
      <c r="AB172" s="4">
        <f t="shared" si="30"/>
        <v>0.55773642215375</v>
      </c>
      <c r="AC172" s="4">
        <f t="shared" si="30"/>
        <v>0.516739810957181</v>
      </c>
      <c r="AD172" s="4">
        <f t="shared" si="30"/>
        <v>0.509959302162907</v>
      </c>
      <c r="AE172" s="4">
        <f t="shared" si="30"/>
        <v>0.482307584296204</v>
      </c>
      <c r="AF172" s="4">
        <f t="shared" si="30"/>
        <v>0.463920538063784</v>
      </c>
      <c r="AG172" s="4">
        <f t="shared" si="30"/>
        <v>0.450131570190275</v>
      </c>
      <c r="AH172" s="4">
        <f t="shared" si="27"/>
        <v>0.398461099597299</v>
      </c>
      <c r="AI172" s="4">
        <f t="shared" si="27"/>
        <v>0.369303774100238</v>
      </c>
      <c r="AJ172" s="4">
        <f t="shared" si="27"/>
        <v>0.355401965334779</v>
      </c>
    </row>
    <row r="173" spans="1:36">
      <c r="A173" t="str">
        <f>"post-semis_procurement_archetype_"&amp;TEXT(ROUND(Table2691617[[#This Row],[2016]],3),"0.0")</f>
        <v>post-semis_procurement_archetype_3.2</v>
      </c>
      <c r="B173" s="4">
        <f t="shared" si="24"/>
        <v>3.2</v>
      </c>
      <c r="C173" s="4">
        <f t="shared" ref="C173:R188" si="31">(($B173-$AJ$2)*((C$2-$AJ$2)/($B$2-$AJ$2)))+$AJ$2</f>
        <v>3.2</v>
      </c>
      <c r="D173" s="4">
        <f t="shared" si="31"/>
        <v>3.2</v>
      </c>
      <c r="E173" s="4">
        <f t="shared" si="31"/>
        <v>3.12372775775848</v>
      </c>
      <c r="F173" s="4">
        <f t="shared" si="31"/>
        <v>2.93933516384752</v>
      </c>
      <c r="G173" s="4">
        <f t="shared" si="31"/>
        <v>2.96511369919541</v>
      </c>
      <c r="H173" s="4">
        <f t="shared" si="31"/>
        <v>2.88507623988881</v>
      </c>
      <c r="I173" s="4">
        <f t="shared" si="31"/>
        <v>2.73024930322182</v>
      </c>
      <c r="J173" s="4">
        <f t="shared" si="31"/>
        <v>2.64327530008527</v>
      </c>
      <c r="K173" s="4">
        <f t="shared" si="31"/>
        <v>2.553994647142</v>
      </c>
      <c r="L173" s="4">
        <f t="shared" si="31"/>
        <v>2.41296540695574</v>
      </c>
      <c r="M173" s="4">
        <f t="shared" si="31"/>
        <v>2.39584884124534</v>
      </c>
      <c r="N173" s="4">
        <f t="shared" si="31"/>
        <v>2.28029272530067</v>
      </c>
      <c r="O173" s="4">
        <f t="shared" si="31"/>
        <v>2.16047064218814</v>
      </c>
      <c r="P173" s="4">
        <f t="shared" si="31"/>
        <v>2.01881614078613</v>
      </c>
      <c r="Q173" s="4">
        <f t="shared" si="31"/>
        <v>1.79009570464548</v>
      </c>
      <c r="R173" s="4">
        <f t="shared" si="31"/>
        <v>1.48154457388519</v>
      </c>
      <c r="S173" s="4">
        <f t="shared" si="30"/>
        <v>1.38314701037261</v>
      </c>
      <c r="T173" s="4">
        <f t="shared" si="30"/>
        <v>1.16925840564682</v>
      </c>
      <c r="U173" s="4">
        <f t="shared" si="30"/>
        <v>0.953708121134859</v>
      </c>
      <c r="V173" s="4">
        <f t="shared" si="30"/>
        <v>0.910220319083249</v>
      </c>
      <c r="W173" s="4">
        <f t="shared" si="30"/>
        <v>0.779003126288731</v>
      </c>
      <c r="X173" s="4">
        <f t="shared" si="30"/>
        <v>0.71241781311486</v>
      </c>
      <c r="Y173" s="4">
        <f t="shared" si="30"/>
        <v>0.643157921512503</v>
      </c>
      <c r="Z173" s="4">
        <f t="shared" si="30"/>
        <v>0.632335313048856</v>
      </c>
      <c r="AA173" s="4">
        <f t="shared" si="30"/>
        <v>0.599220177199829</v>
      </c>
      <c r="AB173" s="4">
        <f t="shared" si="30"/>
        <v>0.550865044314161</v>
      </c>
      <c r="AC173" s="4">
        <f t="shared" si="30"/>
        <v>0.511260698232012</v>
      </c>
      <c r="AD173" s="4">
        <f t="shared" si="30"/>
        <v>0.504710458857009</v>
      </c>
      <c r="AE173" s="4">
        <f t="shared" si="30"/>
        <v>0.477997806952491</v>
      </c>
      <c r="AF173" s="4">
        <f t="shared" si="30"/>
        <v>0.460235193869043</v>
      </c>
      <c r="AG173" s="4">
        <f t="shared" si="30"/>
        <v>0.446914506138058</v>
      </c>
      <c r="AH173" s="4">
        <f t="shared" si="27"/>
        <v>0.396998790183395</v>
      </c>
      <c r="AI173" s="4">
        <f t="shared" si="27"/>
        <v>0.368831661825428</v>
      </c>
      <c r="AJ173" s="4">
        <f t="shared" si="27"/>
        <v>0.355401965334779</v>
      </c>
    </row>
    <row r="174" spans="1:36">
      <c r="A174" t="str">
        <f>"post-semis_procurement_archetype_"&amp;TEXT(ROUND(Table2691617[[#This Row],[2016]],3),"0.0")</f>
        <v>post-semis_procurement_archetype_3.1</v>
      </c>
      <c r="B174" s="4">
        <f t="shared" si="24"/>
        <v>3.1</v>
      </c>
      <c r="C174" s="4">
        <f t="shared" si="31"/>
        <v>3.1</v>
      </c>
      <c r="D174" s="4">
        <f t="shared" si="31"/>
        <v>3.1</v>
      </c>
      <c r="E174" s="4">
        <f t="shared" si="31"/>
        <v>3.02640905899374</v>
      </c>
      <c r="F174" s="4">
        <f t="shared" si="31"/>
        <v>2.84849866719583</v>
      </c>
      <c r="G174" s="4">
        <f t="shared" si="31"/>
        <v>2.87337097484357</v>
      </c>
      <c r="H174" s="4">
        <f t="shared" si="31"/>
        <v>2.79614718053749</v>
      </c>
      <c r="I174" s="4">
        <f t="shared" si="31"/>
        <v>2.64676308446802</v>
      </c>
      <c r="J174" s="4">
        <f t="shared" si="31"/>
        <v>2.56284659603396</v>
      </c>
      <c r="K174" s="4">
        <f t="shared" si="31"/>
        <v>2.47670454657192</v>
      </c>
      <c r="L174" s="4">
        <f t="shared" si="31"/>
        <v>2.34063309790726</v>
      </c>
      <c r="M174" s="4">
        <f t="shared" si="31"/>
        <v>2.32411825396921</v>
      </c>
      <c r="N174" s="4">
        <f t="shared" si="31"/>
        <v>2.21262443837546</v>
      </c>
      <c r="O174" s="4">
        <f t="shared" si="31"/>
        <v>2.0970146229244</v>
      </c>
      <c r="P174" s="4">
        <f t="shared" si="31"/>
        <v>1.96033989369672</v>
      </c>
      <c r="Q174" s="4">
        <f t="shared" si="31"/>
        <v>1.73965997622877</v>
      </c>
      <c r="R174" s="4">
        <f t="shared" si="31"/>
        <v>1.44195576046316</v>
      </c>
      <c r="S174" s="4">
        <f t="shared" si="30"/>
        <v>1.34701729951318</v>
      </c>
      <c r="T174" s="4">
        <f t="shared" si="30"/>
        <v>1.1406478100409</v>
      </c>
      <c r="U174" s="4">
        <f t="shared" si="30"/>
        <v>0.932675056058214</v>
      </c>
      <c r="V174" s="4">
        <f t="shared" si="30"/>
        <v>0.89071603949832</v>
      </c>
      <c r="W174" s="4">
        <f t="shared" si="30"/>
        <v>0.764111702059656</v>
      </c>
      <c r="X174" s="4">
        <f t="shared" si="30"/>
        <v>0.69986715240887</v>
      </c>
      <c r="Y174" s="4">
        <f t="shared" si="30"/>
        <v>0.633042047400553</v>
      </c>
      <c r="Z174" s="4">
        <f t="shared" si="30"/>
        <v>0.622599900722078</v>
      </c>
      <c r="AA174" s="4">
        <f t="shared" si="30"/>
        <v>0.590648906008125</v>
      </c>
      <c r="AB174" s="4">
        <f t="shared" si="30"/>
        <v>0.543993666474571</v>
      </c>
      <c r="AC174" s="4">
        <f t="shared" si="30"/>
        <v>0.505781585506844</v>
      </c>
      <c r="AD174" s="4">
        <f t="shared" si="30"/>
        <v>0.499461615551111</v>
      </c>
      <c r="AE174" s="4">
        <f t="shared" si="30"/>
        <v>0.473688029608778</v>
      </c>
      <c r="AF174" s="4">
        <f t="shared" si="30"/>
        <v>0.456549849674301</v>
      </c>
      <c r="AG174" s="4">
        <f t="shared" si="30"/>
        <v>0.443697442085841</v>
      </c>
      <c r="AH174" s="4">
        <f t="shared" si="27"/>
        <v>0.395536480769492</v>
      </c>
      <c r="AI174" s="4">
        <f t="shared" si="27"/>
        <v>0.368359549550619</v>
      </c>
      <c r="AJ174" s="4">
        <f t="shared" si="27"/>
        <v>0.355401965334779</v>
      </c>
    </row>
    <row r="175" spans="1:36">
      <c r="A175" t="str">
        <f>"post-semis_procurement_archetype_"&amp;TEXT(ROUND(Table2691617[[#This Row],[2016]],3),"0.0")</f>
        <v>post-semis_procurement_archetype_3.0</v>
      </c>
      <c r="B175" s="4">
        <f t="shared" si="24"/>
        <v>3</v>
      </c>
      <c r="C175" s="4">
        <f t="shared" si="31"/>
        <v>3</v>
      </c>
      <c r="D175" s="4">
        <f t="shared" si="31"/>
        <v>3</v>
      </c>
      <c r="E175" s="4">
        <f t="shared" si="31"/>
        <v>2.92909036022899</v>
      </c>
      <c r="F175" s="4">
        <f t="shared" si="31"/>
        <v>2.75766217054414</v>
      </c>
      <c r="G175" s="4">
        <f t="shared" si="31"/>
        <v>2.78162825049174</v>
      </c>
      <c r="H175" s="4">
        <f t="shared" si="31"/>
        <v>2.70721812118617</v>
      </c>
      <c r="I175" s="4">
        <f t="shared" si="31"/>
        <v>2.56327686571421</v>
      </c>
      <c r="J175" s="4">
        <f t="shared" si="31"/>
        <v>2.48241789198264</v>
      </c>
      <c r="K175" s="4">
        <f t="shared" si="31"/>
        <v>2.39941444600184</v>
      </c>
      <c r="L175" s="4">
        <f t="shared" si="31"/>
        <v>2.26830078885879</v>
      </c>
      <c r="M175" s="4">
        <f t="shared" si="31"/>
        <v>2.25238766669308</v>
      </c>
      <c r="N175" s="4">
        <f t="shared" si="31"/>
        <v>2.14495615145026</v>
      </c>
      <c r="O175" s="4">
        <f t="shared" si="31"/>
        <v>2.03355860366065</v>
      </c>
      <c r="P175" s="4">
        <f t="shared" si="31"/>
        <v>1.90186364660731</v>
      </c>
      <c r="Q175" s="4">
        <f t="shared" si="31"/>
        <v>1.68922424781207</v>
      </c>
      <c r="R175" s="4">
        <f t="shared" si="31"/>
        <v>1.40236694704113</v>
      </c>
      <c r="S175" s="4">
        <f t="shared" si="30"/>
        <v>1.31088758865374</v>
      </c>
      <c r="T175" s="4">
        <f t="shared" si="30"/>
        <v>1.11203721443498</v>
      </c>
      <c r="U175" s="4">
        <f t="shared" si="30"/>
        <v>0.91164199098157</v>
      </c>
      <c r="V175" s="4">
        <f t="shared" si="30"/>
        <v>0.871211759913393</v>
      </c>
      <c r="W175" s="4">
        <f t="shared" si="30"/>
        <v>0.74922027783058</v>
      </c>
      <c r="X175" s="4">
        <f t="shared" si="30"/>
        <v>0.687316491702881</v>
      </c>
      <c r="Y175" s="4">
        <f t="shared" si="30"/>
        <v>0.622926173288604</v>
      </c>
      <c r="Z175" s="4">
        <f t="shared" si="30"/>
        <v>0.6128644883953</v>
      </c>
      <c r="AA175" s="4">
        <f t="shared" si="30"/>
        <v>0.58207763481642</v>
      </c>
      <c r="AB175" s="4">
        <f t="shared" si="30"/>
        <v>0.537122288634982</v>
      </c>
      <c r="AC175" s="4">
        <f t="shared" si="30"/>
        <v>0.500302472781675</v>
      </c>
      <c r="AD175" s="4">
        <f t="shared" si="30"/>
        <v>0.494212772245213</v>
      </c>
      <c r="AE175" s="4">
        <f t="shared" si="30"/>
        <v>0.469378252265065</v>
      </c>
      <c r="AF175" s="4">
        <f t="shared" si="30"/>
        <v>0.45286450547956</v>
      </c>
      <c r="AG175" s="4">
        <f t="shared" si="30"/>
        <v>0.440480378033625</v>
      </c>
      <c r="AH175" s="4">
        <f t="shared" si="27"/>
        <v>0.394074171355589</v>
      </c>
      <c r="AI175" s="4">
        <f t="shared" si="27"/>
        <v>0.367887437275809</v>
      </c>
      <c r="AJ175" s="4">
        <f t="shared" si="27"/>
        <v>0.355401965334779</v>
      </c>
    </row>
    <row r="176" spans="1:36">
      <c r="A176" t="str">
        <f>"post-semis_procurement_archetype_"&amp;TEXT(ROUND(Table2691617[[#This Row],[2016]],3),"0.0")</f>
        <v>post-semis_procurement_archetype_2.9</v>
      </c>
      <c r="B176" s="4">
        <f t="shared" si="24"/>
        <v>2.9</v>
      </c>
      <c r="C176" s="4">
        <f t="shared" si="31"/>
        <v>2.9</v>
      </c>
      <c r="D176" s="4">
        <f t="shared" si="31"/>
        <v>2.9</v>
      </c>
      <c r="E176" s="4">
        <f t="shared" si="31"/>
        <v>2.83177166146425</v>
      </c>
      <c r="F176" s="4">
        <f t="shared" si="31"/>
        <v>2.66682567389245</v>
      </c>
      <c r="G176" s="4">
        <f t="shared" si="31"/>
        <v>2.6898855261399</v>
      </c>
      <c r="H176" s="4">
        <f t="shared" si="31"/>
        <v>2.61828906183484</v>
      </c>
      <c r="I176" s="4">
        <f t="shared" si="31"/>
        <v>2.47979064696041</v>
      </c>
      <c r="J176" s="4">
        <f t="shared" si="31"/>
        <v>2.40198918793132</v>
      </c>
      <c r="K176" s="4">
        <f t="shared" si="31"/>
        <v>2.32212434543177</v>
      </c>
      <c r="L176" s="4">
        <f t="shared" si="31"/>
        <v>2.19596847981031</v>
      </c>
      <c r="M176" s="4">
        <f t="shared" si="31"/>
        <v>2.18065707941695</v>
      </c>
      <c r="N176" s="4">
        <f t="shared" si="31"/>
        <v>2.07728786452506</v>
      </c>
      <c r="O176" s="4">
        <f t="shared" si="31"/>
        <v>1.9701025843969</v>
      </c>
      <c r="P176" s="4">
        <f t="shared" si="31"/>
        <v>1.8433873995179</v>
      </c>
      <c r="Q176" s="4">
        <f t="shared" si="31"/>
        <v>1.63878851939536</v>
      </c>
      <c r="R176" s="4">
        <f t="shared" si="31"/>
        <v>1.36277813361909</v>
      </c>
      <c r="S176" s="4">
        <f t="shared" si="30"/>
        <v>1.2747578777943</v>
      </c>
      <c r="T176" s="4">
        <f t="shared" si="30"/>
        <v>1.08342661882906</v>
      </c>
      <c r="U176" s="4">
        <f t="shared" si="30"/>
        <v>0.890608925904926</v>
      </c>
      <c r="V176" s="4">
        <f t="shared" si="30"/>
        <v>0.851707480328465</v>
      </c>
      <c r="W176" s="4">
        <f t="shared" si="30"/>
        <v>0.734328853601504</v>
      </c>
      <c r="X176" s="4">
        <f t="shared" si="30"/>
        <v>0.674765830996891</v>
      </c>
      <c r="Y176" s="4">
        <f t="shared" si="30"/>
        <v>0.612810299176654</v>
      </c>
      <c r="Z176" s="4">
        <f t="shared" si="30"/>
        <v>0.603129076068523</v>
      </c>
      <c r="AA176" s="4">
        <f t="shared" si="30"/>
        <v>0.573506363624716</v>
      </c>
      <c r="AB176" s="4">
        <f t="shared" si="30"/>
        <v>0.530250910795392</v>
      </c>
      <c r="AC176" s="4">
        <f t="shared" si="30"/>
        <v>0.494823360056507</v>
      </c>
      <c r="AD176" s="4">
        <f t="shared" si="30"/>
        <v>0.488963928939315</v>
      </c>
      <c r="AE176" s="4">
        <f t="shared" si="30"/>
        <v>0.465068474921352</v>
      </c>
      <c r="AF176" s="4">
        <f t="shared" si="30"/>
        <v>0.449179161284818</v>
      </c>
      <c r="AG176" s="4">
        <f t="shared" si="30"/>
        <v>0.437263313981408</v>
      </c>
      <c r="AH176" s="4">
        <f t="shared" si="27"/>
        <v>0.392611861941686</v>
      </c>
      <c r="AI176" s="4">
        <f t="shared" si="27"/>
        <v>0.367415325000999</v>
      </c>
      <c r="AJ176" s="4">
        <f t="shared" si="27"/>
        <v>0.355401965334779</v>
      </c>
    </row>
    <row r="177" spans="1:36">
      <c r="A177" t="str">
        <f>"post-semis_procurement_archetype_"&amp;TEXT(ROUND(Table2691617[[#This Row],[2016]],3),"0.0")</f>
        <v>post-semis_procurement_archetype_2.8</v>
      </c>
      <c r="B177" s="4">
        <f t="shared" si="24"/>
        <v>2.8</v>
      </c>
      <c r="C177" s="4">
        <f t="shared" si="31"/>
        <v>2.8</v>
      </c>
      <c r="D177" s="4">
        <f t="shared" si="31"/>
        <v>2.8</v>
      </c>
      <c r="E177" s="4">
        <f t="shared" si="31"/>
        <v>2.7344529626995</v>
      </c>
      <c r="F177" s="4">
        <f t="shared" si="31"/>
        <v>2.57598917724076</v>
      </c>
      <c r="G177" s="4">
        <f t="shared" si="31"/>
        <v>2.59814280178807</v>
      </c>
      <c r="H177" s="4">
        <f t="shared" si="31"/>
        <v>2.52936000248352</v>
      </c>
      <c r="I177" s="4">
        <f t="shared" si="31"/>
        <v>2.3963044282066</v>
      </c>
      <c r="J177" s="4">
        <f t="shared" si="31"/>
        <v>2.32156048388</v>
      </c>
      <c r="K177" s="4">
        <f t="shared" si="31"/>
        <v>2.24483424486169</v>
      </c>
      <c r="L177" s="4">
        <f t="shared" si="31"/>
        <v>2.12363617076183</v>
      </c>
      <c r="M177" s="4">
        <f t="shared" si="31"/>
        <v>2.10892649214082</v>
      </c>
      <c r="N177" s="4">
        <f t="shared" si="31"/>
        <v>2.00961957759986</v>
      </c>
      <c r="O177" s="4">
        <f t="shared" si="31"/>
        <v>1.90664656513315</v>
      </c>
      <c r="P177" s="4">
        <f t="shared" si="31"/>
        <v>1.78491115242849</v>
      </c>
      <c r="Q177" s="4">
        <f t="shared" si="31"/>
        <v>1.58835279097866</v>
      </c>
      <c r="R177" s="4">
        <f t="shared" si="31"/>
        <v>1.32318932019706</v>
      </c>
      <c r="S177" s="4">
        <f t="shared" si="30"/>
        <v>1.23862816693486</v>
      </c>
      <c r="T177" s="4">
        <f t="shared" si="30"/>
        <v>1.05481602322314</v>
      </c>
      <c r="U177" s="4">
        <f t="shared" si="30"/>
        <v>0.869575860828282</v>
      </c>
      <c r="V177" s="4">
        <f t="shared" si="30"/>
        <v>0.832203200743537</v>
      </c>
      <c r="W177" s="4">
        <f t="shared" si="30"/>
        <v>0.719437429372428</v>
      </c>
      <c r="X177" s="4">
        <f t="shared" si="30"/>
        <v>0.662215170290901</v>
      </c>
      <c r="Y177" s="4">
        <f t="shared" si="30"/>
        <v>0.602694425064705</v>
      </c>
      <c r="Z177" s="4">
        <f t="shared" si="30"/>
        <v>0.593393663741745</v>
      </c>
      <c r="AA177" s="4">
        <f t="shared" si="30"/>
        <v>0.564935092433012</v>
      </c>
      <c r="AB177" s="4">
        <f t="shared" si="30"/>
        <v>0.523379532955803</v>
      </c>
      <c r="AC177" s="4">
        <f t="shared" si="30"/>
        <v>0.489344247331339</v>
      </c>
      <c r="AD177" s="4">
        <f t="shared" si="30"/>
        <v>0.483715085633417</v>
      </c>
      <c r="AE177" s="4">
        <f t="shared" si="30"/>
        <v>0.460758697577638</v>
      </c>
      <c r="AF177" s="4">
        <f t="shared" si="30"/>
        <v>0.445493817090077</v>
      </c>
      <c r="AG177" s="4">
        <f t="shared" si="30"/>
        <v>0.434046249929191</v>
      </c>
      <c r="AH177" s="4">
        <f t="shared" si="27"/>
        <v>0.391149552527782</v>
      </c>
      <c r="AI177" s="4">
        <f t="shared" si="27"/>
        <v>0.36694321272619</v>
      </c>
      <c r="AJ177" s="4">
        <f t="shared" si="27"/>
        <v>0.355401965334779</v>
      </c>
    </row>
    <row r="178" spans="1:36">
      <c r="A178" t="str">
        <f>"post-semis_procurement_archetype_"&amp;TEXT(ROUND(Table2691617[[#This Row],[2016]],3),"0.0")</f>
        <v>post-semis_procurement_archetype_2.7</v>
      </c>
      <c r="B178" s="4">
        <f t="shared" si="24"/>
        <v>2.7</v>
      </c>
      <c r="C178" s="4">
        <f t="shared" si="31"/>
        <v>2.7</v>
      </c>
      <c r="D178" s="4">
        <f t="shared" si="31"/>
        <v>2.7</v>
      </c>
      <c r="E178" s="4">
        <f t="shared" si="31"/>
        <v>2.63713426393476</v>
      </c>
      <c r="F178" s="4">
        <f t="shared" si="31"/>
        <v>2.48515268058907</v>
      </c>
      <c r="G178" s="4">
        <f t="shared" si="31"/>
        <v>2.50640007743623</v>
      </c>
      <c r="H178" s="4">
        <f t="shared" si="31"/>
        <v>2.44043094313219</v>
      </c>
      <c r="I178" s="4">
        <f t="shared" si="31"/>
        <v>2.3128182094528</v>
      </c>
      <c r="J178" s="4">
        <f t="shared" si="31"/>
        <v>2.24113177982869</v>
      </c>
      <c r="K178" s="4">
        <f t="shared" si="31"/>
        <v>2.16754414429161</v>
      </c>
      <c r="L178" s="4">
        <f t="shared" si="31"/>
        <v>2.05130386171335</v>
      </c>
      <c r="M178" s="4">
        <f t="shared" si="31"/>
        <v>2.0371959048647</v>
      </c>
      <c r="N178" s="4">
        <f t="shared" si="31"/>
        <v>1.94195129067466</v>
      </c>
      <c r="O178" s="4">
        <f t="shared" si="31"/>
        <v>1.8431905458694</v>
      </c>
      <c r="P178" s="4">
        <f t="shared" si="31"/>
        <v>1.72643490533908</v>
      </c>
      <c r="Q178" s="4">
        <f t="shared" si="31"/>
        <v>1.53791706256195</v>
      </c>
      <c r="R178" s="4">
        <f t="shared" si="31"/>
        <v>1.28360050677503</v>
      </c>
      <c r="S178" s="4">
        <f t="shared" si="30"/>
        <v>1.20249845607542</v>
      </c>
      <c r="T178" s="4">
        <f t="shared" si="30"/>
        <v>1.02620542761722</v>
      </c>
      <c r="U178" s="4">
        <f t="shared" si="30"/>
        <v>0.848542795751637</v>
      </c>
      <c r="V178" s="4">
        <f t="shared" si="30"/>
        <v>0.812698921158609</v>
      </c>
      <c r="W178" s="4">
        <f t="shared" si="30"/>
        <v>0.704546005143352</v>
      </c>
      <c r="X178" s="4">
        <f t="shared" si="30"/>
        <v>0.649664509584912</v>
      </c>
      <c r="Y178" s="4">
        <f t="shared" si="30"/>
        <v>0.592578550952755</v>
      </c>
      <c r="Z178" s="4">
        <f t="shared" si="30"/>
        <v>0.583658251414967</v>
      </c>
      <c r="AA178" s="4">
        <f t="shared" si="30"/>
        <v>0.556363821241307</v>
      </c>
      <c r="AB178" s="4">
        <f t="shared" si="30"/>
        <v>0.516508155116214</v>
      </c>
      <c r="AC178" s="4">
        <f t="shared" si="30"/>
        <v>0.48386513460617</v>
      </c>
      <c r="AD178" s="4">
        <f t="shared" si="30"/>
        <v>0.478466242327519</v>
      </c>
      <c r="AE178" s="4">
        <f t="shared" si="30"/>
        <v>0.456448920233925</v>
      </c>
      <c r="AF178" s="4">
        <f t="shared" si="30"/>
        <v>0.441808472895336</v>
      </c>
      <c r="AG178" s="4">
        <f t="shared" si="30"/>
        <v>0.430829185876974</v>
      </c>
      <c r="AH178" s="4">
        <f t="shared" si="27"/>
        <v>0.389687243113879</v>
      </c>
      <c r="AI178" s="4">
        <f t="shared" si="27"/>
        <v>0.36647110045138</v>
      </c>
      <c r="AJ178" s="4">
        <f t="shared" si="27"/>
        <v>0.355401965334779</v>
      </c>
    </row>
    <row r="179" spans="1:36">
      <c r="A179" t="str">
        <f>"post-semis_procurement_archetype_"&amp;TEXT(ROUND(Table2691617[[#This Row],[2016]],3),"0.0")</f>
        <v>post-semis_procurement_archetype_2.6</v>
      </c>
      <c r="B179" s="4">
        <f t="shared" si="24"/>
        <v>2.6</v>
      </c>
      <c r="C179" s="4">
        <f t="shared" si="31"/>
        <v>2.6</v>
      </c>
      <c r="D179" s="4">
        <f t="shared" si="31"/>
        <v>2.6</v>
      </c>
      <c r="E179" s="4">
        <f t="shared" si="31"/>
        <v>2.53981556517001</v>
      </c>
      <c r="F179" s="4">
        <f t="shared" si="31"/>
        <v>2.39431618393738</v>
      </c>
      <c r="G179" s="4">
        <f t="shared" si="31"/>
        <v>2.4146573530844</v>
      </c>
      <c r="H179" s="4">
        <f t="shared" si="31"/>
        <v>2.35150188378087</v>
      </c>
      <c r="I179" s="4">
        <f t="shared" si="31"/>
        <v>2.22933199069899</v>
      </c>
      <c r="J179" s="4">
        <f t="shared" si="31"/>
        <v>2.16070307577737</v>
      </c>
      <c r="K179" s="4">
        <f t="shared" si="31"/>
        <v>2.09025404372153</v>
      </c>
      <c r="L179" s="4">
        <f t="shared" si="31"/>
        <v>1.97897155266488</v>
      </c>
      <c r="M179" s="4">
        <f t="shared" si="31"/>
        <v>1.96546531758857</v>
      </c>
      <c r="N179" s="4">
        <f t="shared" si="31"/>
        <v>1.87428300374946</v>
      </c>
      <c r="O179" s="4">
        <f t="shared" si="31"/>
        <v>1.77973452660566</v>
      </c>
      <c r="P179" s="4">
        <f t="shared" si="31"/>
        <v>1.66795865824967</v>
      </c>
      <c r="Q179" s="4">
        <f t="shared" si="31"/>
        <v>1.48748133414525</v>
      </c>
      <c r="R179" s="4">
        <f t="shared" si="31"/>
        <v>1.244011693353</v>
      </c>
      <c r="S179" s="4">
        <f t="shared" si="30"/>
        <v>1.16636874521598</v>
      </c>
      <c r="T179" s="4">
        <f t="shared" si="30"/>
        <v>0.997594832011297</v>
      </c>
      <c r="U179" s="4">
        <f t="shared" si="30"/>
        <v>0.827509730674993</v>
      </c>
      <c r="V179" s="4">
        <f t="shared" si="30"/>
        <v>0.793194641573681</v>
      </c>
      <c r="W179" s="4">
        <f t="shared" si="30"/>
        <v>0.689654580914276</v>
      </c>
      <c r="X179" s="4">
        <f t="shared" si="30"/>
        <v>0.637113848878922</v>
      </c>
      <c r="Y179" s="4">
        <f t="shared" si="30"/>
        <v>0.582462676840806</v>
      </c>
      <c r="Z179" s="4">
        <f t="shared" si="30"/>
        <v>0.573922839088189</v>
      </c>
      <c r="AA179" s="4">
        <f t="shared" si="30"/>
        <v>0.547792550049603</v>
      </c>
      <c r="AB179" s="4">
        <f t="shared" si="30"/>
        <v>0.509636777276624</v>
      </c>
      <c r="AC179" s="4">
        <f t="shared" si="30"/>
        <v>0.478386021881002</v>
      </c>
      <c r="AD179" s="4">
        <f t="shared" si="30"/>
        <v>0.473217399021621</v>
      </c>
      <c r="AE179" s="4">
        <f t="shared" si="30"/>
        <v>0.452139142890212</v>
      </c>
      <c r="AF179" s="4">
        <f t="shared" si="30"/>
        <v>0.438123128700594</v>
      </c>
      <c r="AG179" s="4">
        <f t="shared" si="30"/>
        <v>0.427612121824758</v>
      </c>
      <c r="AH179" s="4">
        <f t="shared" si="27"/>
        <v>0.388224933699976</v>
      </c>
      <c r="AI179" s="4">
        <f t="shared" si="27"/>
        <v>0.36599898817657</v>
      </c>
      <c r="AJ179" s="4">
        <f t="shared" si="27"/>
        <v>0.355401965334779</v>
      </c>
    </row>
    <row r="180" spans="1:36">
      <c r="A180" t="str">
        <f>"post-semis_procurement_archetype_"&amp;TEXT(ROUND(Table2691617[[#This Row],[2016]],3),"0.0")</f>
        <v>post-semis_procurement_archetype_2.5</v>
      </c>
      <c r="B180" s="4">
        <f t="shared" si="24"/>
        <v>2.5</v>
      </c>
      <c r="C180" s="4">
        <f t="shared" si="31"/>
        <v>2.5</v>
      </c>
      <c r="D180" s="4">
        <f t="shared" si="31"/>
        <v>2.5</v>
      </c>
      <c r="E180" s="4">
        <f t="shared" si="31"/>
        <v>2.44249686640527</v>
      </c>
      <c r="F180" s="4">
        <f t="shared" si="31"/>
        <v>2.30347968728569</v>
      </c>
      <c r="G180" s="4">
        <f t="shared" si="31"/>
        <v>2.32291462873256</v>
      </c>
      <c r="H180" s="4">
        <f t="shared" si="31"/>
        <v>2.26257282442954</v>
      </c>
      <c r="I180" s="4">
        <f t="shared" si="31"/>
        <v>2.14584577194519</v>
      </c>
      <c r="J180" s="4">
        <f t="shared" si="31"/>
        <v>2.08027437172605</v>
      </c>
      <c r="K180" s="4">
        <f t="shared" si="31"/>
        <v>2.01296394315145</v>
      </c>
      <c r="L180" s="4">
        <f t="shared" si="31"/>
        <v>1.9066392436164</v>
      </c>
      <c r="M180" s="4">
        <f t="shared" si="31"/>
        <v>1.89373473031244</v>
      </c>
      <c r="N180" s="4">
        <f t="shared" si="31"/>
        <v>1.80661471682426</v>
      </c>
      <c r="O180" s="4">
        <f t="shared" si="31"/>
        <v>1.71627850734191</v>
      </c>
      <c r="P180" s="4">
        <f t="shared" si="31"/>
        <v>1.60948241116026</v>
      </c>
      <c r="Q180" s="4">
        <f t="shared" si="31"/>
        <v>1.43704560572854</v>
      </c>
      <c r="R180" s="4">
        <f t="shared" si="31"/>
        <v>1.20442287993097</v>
      </c>
      <c r="S180" s="4">
        <f t="shared" si="30"/>
        <v>1.13023903435654</v>
      </c>
      <c r="T180" s="4">
        <f t="shared" si="30"/>
        <v>0.968984236405376</v>
      </c>
      <c r="U180" s="4">
        <f t="shared" si="30"/>
        <v>0.806476665598349</v>
      </c>
      <c r="V180" s="4">
        <f t="shared" si="30"/>
        <v>0.773690361988753</v>
      </c>
      <c r="W180" s="4">
        <f t="shared" si="30"/>
        <v>0.6747631566852</v>
      </c>
      <c r="X180" s="4">
        <f t="shared" si="30"/>
        <v>0.624563188172933</v>
      </c>
      <c r="Y180" s="4">
        <f t="shared" si="30"/>
        <v>0.572346802728856</v>
      </c>
      <c r="Z180" s="4">
        <f t="shared" si="30"/>
        <v>0.564187426761411</v>
      </c>
      <c r="AA180" s="4">
        <f t="shared" si="30"/>
        <v>0.539221278857898</v>
      </c>
      <c r="AB180" s="4">
        <f t="shared" si="30"/>
        <v>0.502765399437035</v>
      </c>
      <c r="AC180" s="4">
        <f t="shared" si="30"/>
        <v>0.472906909155833</v>
      </c>
      <c r="AD180" s="4">
        <f t="shared" si="30"/>
        <v>0.467968555715723</v>
      </c>
      <c r="AE180" s="4">
        <f t="shared" si="30"/>
        <v>0.447829365546499</v>
      </c>
      <c r="AF180" s="4">
        <f t="shared" si="30"/>
        <v>0.434437784505853</v>
      </c>
      <c r="AG180" s="4">
        <f t="shared" si="30"/>
        <v>0.424395057772541</v>
      </c>
      <c r="AH180" s="4">
        <f t="shared" si="27"/>
        <v>0.386762624286072</v>
      </c>
      <c r="AI180" s="4">
        <f t="shared" si="27"/>
        <v>0.36552687590176</v>
      </c>
      <c r="AJ180" s="4">
        <f t="shared" si="27"/>
        <v>0.355401965334779</v>
      </c>
    </row>
    <row r="181" spans="1:36">
      <c r="A181" t="str">
        <f>"post-semis_procurement_archetype_"&amp;TEXT(ROUND(Table2691617[[#This Row],[2016]],3),"0.0")</f>
        <v>post-semis_procurement_archetype_2.4</v>
      </c>
      <c r="B181" s="4">
        <f t="shared" si="24"/>
        <v>2.4</v>
      </c>
      <c r="C181" s="4">
        <f t="shared" si="31"/>
        <v>2.4</v>
      </c>
      <c r="D181" s="4">
        <f t="shared" si="31"/>
        <v>2.4</v>
      </c>
      <c r="E181" s="4">
        <f t="shared" si="31"/>
        <v>2.34517816764052</v>
      </c>
      <c r="F181" s="4">
        <f t="shared" si="31"/>
        <v>2.212643190634</v>
      </c>
      <c r="G181" s="4">
        <f t="shared" si="31"/>
        <v>2.23117190438073</v>
      </c>
      <c r="H181" s="4">
        <f t="shared" si="31"/>
        <v>2.17364376507822</v>
      </c>
      <c r="I181" s="4">
        <f t="shared" si="31"/>
        <v>2.06235955319138</v>
      </c>
      <c r="J181" s="4">
        <f t="shared" si="31"/>
        <v>1.99984566767473</v>
      </c>
      <c r="K181" s="4">
        <f t="shared" si="31"/>
        <v>1.93567384258137</v>
      </c>
      <c r="L181" s="4">
        <f t="shared" si="31"/>
        <v>1.83430693456792</v>
      </c>
      <c r="M181" s="4">
        <f t="shared" si="31"/>
        <v>1.82200414303631</v>
      </c>
      <c r="N181" s="4">
        <f t="shared" si="31"/>
        <v>1.73894642989906</v>
      </c>
      <c r="O181" s="4">
        <f t="shared" si="31"/>
        <v>1.65282248807816</v>
      </c>
      <c r="P181" s="4">
        <f t="shared" si="31"/>
        <v>1.55100616407085</v>
      </c>
      <c r="Q181" s="4">
        <f t="shared" si="31"/>
        <v>1.38660987731183</v>
      </c>
      <c r="R181" s="4">
        <f t="shared" si="31"/>
        <v>1.16483406650893</v>
      </c>
      <c r="S181" s="4">
        <f t="shared" si="30"/>
        <v>1.0941093234971</v>
      </c>
      <c r="T181" s="4">
        <f t="shared" si="30"/>
        <v>0.940373640799455</v>
      </c>
      <c r="U181" s="4">
        <f t="shared" si="30"/>
        <v>0.785443600521704</v>
      </c>
      <c r="V181" s="4">
        <f t="shared" si="30"/>
        <v>0.754186082403825</v>
      </c>
      <c r="W181" s="4">
        <f t="shared" si="30"/>
        <v>0.659871732456125</v>
      </c>
      <c r="X181" s="4">
        <f t="shared" si="30"/>
        <v>0.612012527466943</v>
      </c>
      <c r="Y181" s="4">
        <f t="shared" si="30"/>
        <v>0.562230928616906</v>
      </c>
      <c r="Z181" s="4">
        <f t="shared" si="30"/>
        <v>0.554452014434634</v>
      </c>
      <c r="AA181" s="4">
        <f t="shared" si="30"/>
        <v>0.530650007666194</v>
      </c>
      <c r="AB181" s="4">
        <f t="shared" si="30"/>
        <v>0.495894021597445</v>
      </c>
      <c r="AC181" s="4">
        <f t="shared" si="30"/>
        <v>0.467427796430665</v>
      </c>
      <c r="AD181" s="4">
        <f t="shared" si="30"/>
        <v>0.462719712409825</v>
      </c>
      <c r="AE181" s="4">
        <f t="shared" si="30"/>
        <v>0.443519588202786</v>
      </c>
      <c r="AF181" s="4">
        <f t="shared" si="30"/>
        <v>0.430752440311111</v>
      </c>
      <c r="AG181" s="4">
        <f t="shared" si="30"/>
        <v>0.421177993720324</v>
      </c>
      <c r="AH181" s="4">
        <f t="shared" si="27"/>
        <v>0.385300314872169</v>
      </c>
      <c r="AI181" s="4">
        <f t="shared" si="27"/>
        <v>0.365054763626951</v>
      </c>
      <c r="AJ181" s="4">
        <f t="shared" si="27"/>
        <v>0.355401965334779</v>
      </c>
    </row>
    <row r="182" spans="1:36">
      <c r="A182" t="str">
        <f>"post-semis_procurement_archetype_"&amp;TEXT(ROUND(Table2691617[[#This Row],[2016]],3),"0.0")</f>
        <v>post-semis_procurement_archetype_2.3</v>
      </c>
      <c r="B182" s="4">
        <f t="shared" si="24"/>
        <v>2.3</v>
      </c>
      <c r="C182" s="4">
        <f t="shared" si="31"/>
        <v>2.3</v>
      </c>
      <c r="D182" s="4">
        <f t="shared" si="31"/>
        <v>2.3</v>
      </c>
      <c r="E182" s="4">
        <f t="shared" si="31"/>
        <v>2.24785946887578</v>
      </c>
      <c r="F182" s="4">
        <f t="shared" si="31"/>
        <v>2.1218066939823</v>
      </c>
      <c r="G182" s="4">
        <f t="shared" si="31"/>
        <v>2.13942918002889</v>
      </c>
      <c r="H182" s="4">
        <f t="shared" si="31"/>
        <v>2.0847147057269</v>
      </c>
      <c r="I182" s="4">
        <f t="shared" si="31"/>
        <v>1.97887333443758</v>
      </c>
      <c r="J182" s="4">
        <f t="shared" si="31"/>
        <v>1.91941696362341</v>
      </c>
      <c r="K182" s="4">
        <f t="shared" si="31"/>
        <v>1.8583837420113</v>
      </c>
      <c r="L182" s="4">
        <f t="shared" si="31"/>
        <v>1.76197462551944</v>
      </c>
      <c r="M182" s="4">
        <f t="shared" si="31"/>
        <v>1.75027355576018</v>
      </c>
      <c r="N182" s="4">
        <f t="shared" si="31"/>
        <v>1.67127814297386</v>
      </c>
      <c r="O182" s="4">
        <f t="shared" si="31"/>
        <v>1.58936646881441</v>
      </c>
      <c r="P182" s="4">
        <f t="shared" si="31"/>
        <v>1.49252991698144</v>
      </c>
      <c r="Q182" s="4">
        <f t="shared" si="31"/>
        <v>1.33617414889513</v>
      </c>
      <c r="R182" s="4">
        <f t="shared" si="31"/>
        <v>1.1252452530869</v>
      </c>
      <c r="S182" s="4">
        <f t="shared" si="30"/>
        <v>1.05797961263766</v>
      </c>
      <c r="T182" s="4">
        <f t="shared" si="30"/>
        <v>0.911763045193533</v>
      </c>
      <c r="U182" s="4">
        <f t="shared" si="30"/>
        <v>0.76441053544506</v>
      </c>
      <c r="V182" s="4">
        <f t="shared" si="30"/>
        <v>0.734681802818897</v>
      </c>
      <c r="W182" s="4">
        <f t="shared" si="30"/>
        <v>0.644980308227049</v>
      </c>
      <c r="X182" s="4">
        <f t="shared" si="30"/>
        <v>0.599461866760953</v>
      </c>
      <c r="Y182" s="4">
        <f t="shared" si="30"/>
        <v>0.552115054504957</v>
      </c>
      <c r="Z182" s="4">
        <f t="shared" si="30"/>
        <v>0.544716602107856</v>
      </c>
      <c r="AA182" s="4">
        <f t="shared" si="30"/>
        <v>0.522078736474489</v>
      </c>
      <c r="AB182" s="4">
        <f t="shared" si="30"/>
        <v>0.489022643757856</v>
      </c>
      <c r="AC182" s="4">
        <f t="shared" si="30"/>
        <v>0.461948683705496</v>
      </c>
      <c r="AD182" s="4">
        <f t="shared" si="30"/>
        <v>0.457470869103927</v>
      </c>
      <c r="AE182" s="4">
        <f t="shared" si="30"/>
        <v>0.439209810859072</v>
      </c>
      <c r="AF182" s="4">
        <f t="shared" si="30"/>
        <v>0.42706709611637</v>
      </c>
      <c r="AG182" s="4">
        <f t="shared" si="30"/>
        <v>0.417960929668107</v>
      </c>
      <c r="AH182" s="4">
        <f t="shared" si="27"/>
        <v>0.383838005458266</v>
      </c>
      <c r="AI182" s="4">
        <f t="shared" si="27"/>
        <v>0.364582651352141</v>
      </c>
      <c r="AJ182" s="4">
        <f t="shared" si="27"/>
        <v>0.355401965334779</v>
      </c>
    </row>
    <row r="183" spans="1:36">
      <c r="A183" t="str">
        <f>"post-semis_procurement_archetype_"&amp;TEXT(ROUND(Table2691617[[#This Row],[2016]],3),"0.0")</f>
        <v>post-semis_procurement_archetype_2.2</v>
      </c>
      <c r="B183" s="4">
        <f t="shared" si="24"/>
        <v>2.2</v>
      </c>
      <c r="C183" s="4">
        <f t="shared" si="31"/>
        <v>2.2</v>
      </c>
      <c r="D183" s="4">
        <f t="shared" si="31"/>
        <v>2.2</v>
      </c>
      <c r="E183" s="4">
        <f t="shared" si="31"/>
        <v>2.15054077011103</v>
      </c>
      <c r="F183" s="4">
        <f t="shared" si="31"/>
        <v>2.03097019733061</v>
      </c>
      <c r="G183" s="4">
        <f t="shared" si="31"/>
        <v>2.04768645567706</v>
      </c>
      <c r="H183" s="4">
        <f t="shared" si="31"/>
        <v>1.99578564637557</v>
      </c>
      <c r="I183" s="4">
        <f t="shared" si="31"/>
        <v>1.89538711568377</v>
      </c>
      <c r="J183" s="4">
        <f t="shared" si="31"/>
        <v>1.8389882595721</v>
      </c>
      <c r="K183" s="4">
        <f t="shared" si="31"/>
        <v>1.78109364144122</v>
      </c>
      <c r="L183" s="4">
        <f t="shared" si="31"/>
        <v>1.68964231647097</v>
      </c>
      <c r="M183" s="4">
        <f t="shared" si="31"/>
        <v>1.67854296848406</v>
      </c>
      <c r="N183" s="4">
        <f t="shared" si="31"/>
        <v>1.60360985604866</v>
      </c>
      <c r="O183" s="4">
        <f t="shared" si="31"/>
        <v>1.52591044955066</v>
      </c>
      <c r="P183" s="4">
        <f t="shared" si="31"/>
        <v>1.43405366989203</v>
      </c>
      <c r="Q183" s="4">
        <f t="shared" si="31"/>
        <v>1.28573842047842</v>
      </c>
      <c r="R183" s="4">
        <f t="shared" si="31"/>
        <v>1.08565643966487</v>
      </c>
      <c r="S183" s="4">
        <f t="shared" si="30"/>
        <v>1.02184990177822</v>
      </c>
      <c r="T183" s="4">
        <f t="shared" si="30"/>
        <v>0.883152449587612</v>
      </c>
      <c r="U183" s="4">
        <f t="shared" si="30"/>
        <v>0.743377470368416</v>
      </c>
      <c r="V183" s="4">
        <f t="shared" si="30"/>
        <v>0.715177523233969</v>
      </c>
      <c r="W183" s="4">
        <f t="shared" si="30"/>
        <v>0.630088883997973</v>
      </c>
      <c r="X183" s="4">
        <f t="shared" si="30"/>
        <v>0.586911206054964</v>
      </c>
      <c r="Y183" s="4">
        <f t="shared" si="30"/>
        <v>0.541999180393007</v>
      </c>
      <c r="Z183" s="4">
        <f t="shared" si="30"/>
        <v>0.534981189781078</v>
      </c>
      <c r="AA183" s="4">
        <f t="shared" si="30"/>
        <v>0.513507465282785</v>
      </c>
      <c r="AB183" s="4">
        <f t="shared" si="30"/>
        <v>0.482151265918266</v>
      </c>
      <c r="AC183" s="4">
        <f t="shared" si="30"/>
        <v>0.456469570980328</v>
      </c>
      <c r="AD183" s="4">
        <f t="shared" si="30"/>
        <v>0.452222025798029</v>
      </c>
      <c r="AE183" s="4">
        <f t="shared" si="30"/>
        <v>0.434900033515359</v>
      </c>
      <c r="AF183" s="4">
        <f t="shared" si="30"/>
        <v>0.423381751921628</v>
      </c>
      <c r="AG183" s="4">
        <f t="shared" si="30"/>
        <v>0.41474386561589</v>
      </c>
      <c r="AH183" s="4">
        <f t="shared" si="27"/>
        <v>0.382375696044363</v>
      </c>
      <c r="AI183" s="4">
        <f t="shared" si="27"/>
        <v>0.364110539077331</v>
      </c>
      <c r="AJ183" s="4">
        <f t="shared" si="27"/>
        <v>0.355401965334779</v>
      </c>
    </row>
    <row r="184" spans="1:36">
      <c r="A184" t="str">
        <f>"post-semis_procurement_archetype_"&amp;TEXT(ROUND(Table2691617[[#This Row],[2016]],3),"0.0")</f>
        <v>post-semis_procurement_archetype_2.1</v>
      </c>
      <c r="B184" s="4">
        <f t="shared" si="24"/>
        <v>2.1</v>
      </c>
      <c r="C184" s="4">
        <f t="shared" si="31"/>
        <v>2.1</v>
      </c>
      <c r="D184" s="4">
        <f t="shared" si="31"/>
        <v>2.1</v>
      </c>
      <c r="E184" s="4">
        <f t="shared" si="31"/>
        <v>2.05322207134629</v>
      </c>
      <c r="F184" s="4">
        <f t="shared" si="31"/>
        <v>1.94013370067892</v>
      </c>
      <c r="G184" s="4">
        <f t="shared" si="31"/>
        <v>1.95594373132522</v>
      </c>
      <c r="H184" s="4">
        <f t="shared" si="31"/>
        <v>1.90685658702425</v>
      </c>
      <c r="I184" s="4">
        <f t="shared" si="31"/>
        <v>1.81190089692997</v>
      </c>
      <c r="J184" s="4">
        <f t="shared" si="31"/>
        <v>1.75855955552078</v>
      </c>
      <c r="K184" s="4">
        <f t="shared" si="31"/>
        <v>1.70380354087114</v>
      </c>
      <c r="L184" s="4">
        <f t="shared" si="31"/>
        <v>1.61731000742249</v>
      </c>
      <c r="M184" s="4">
        <f t="shared" si="31"/>
        <v>1.60681238120793</v>
      </c>
      <c r="N184" s="4">
        <f t="shared" si="31"/>
        <v>1.53594156912346</v>
      </c>
      <c r="O184" s="4">
        <f t="shared" si="31"/>
        <v>1.46245443028691</v>
      </c>
      <c r="P184" s="4">
        <f t="shared" si="31"/>
        <v>1.37557742280262</v>
      </c>
      <c r="Q184" s="4">
        <f t="shared" si="31"/>
        <v>1.23530269206172</v>
      </c>
      <c r="R184" s="4">
        <f t="shared" si="31"/>
        <v>1.04606762624284</v>
      </c>
      <c r="S184" s="4">
        <f t="shared" si="30"/>
        <v>0.985720190918782</v>
      </c>
      <c r="T184" s="4">
        <f t="shared" si="30"/>
        <v>0.854541853981691</v>
      </c>
      <c r="U184" s="4">
        <f t="shared" si="30"/>
        <v>0.722344405291772</v>
      </c>
      <c r="V184" s="4">
        <f t="shared" si="30"/>
        <v>0.695673243649041</v>
      </c>
      <c r="W184" s="4">
        <f t="shared" si="30"/>
        <v>0.615197459768897</v>
      </c>
      <c r="X184" s="4">
        <f t="shared" si="30"/>
        <v>0.574360545348974</v>
      </c>
      <c r="Y184" s="4">
        <f t="shared" si="30"/>
        <v>0.531883306281058</v>
      </c>
      <c r="Z184" s="4">
        <f t="shared" si="30"/>
        <v>0.5252457774543</v>
      </c>
      <c r="AA184" s="4">
        <f t="shared" si="30"/>
        <v>0.50493619409108</v>
      </c>
      <c r="AB184" s="4">
        <f t="shared" si="30"/>
        <v>0.475279888078677</v>
      </c>
      <c r="AC184" s="4">
        <f t="shared" si="30"/>
        <v>0.450990458255159</v>
      </c>
      <c r="AD184" s="4">
        <f t="shared" si="30"/>
        <v>0.446973182492131</v>
      </c>
      <c r="AE184" s="4">
        <f t="shared" si="30"/>
        <v>0.430590256171646</v>
      </c>
      <c r="AF184" s="4">
        <f t="shared" si="30"/>
        <v>0.419696407726887</v>
      </c>
      <c r="AG184" s="4">
        <f t="shared" si="30"/>
        <v>0.411526801563674</v>
      </c>
      <c r="AH184" s="4">
        <f t="shared" si="27"/>
        <v>0.380913386630459</v>
      </c>
      <c r="AI184" s="4">
        <f t="shared" si="27"/>
        <v>0.363638426802522</v>
      </c>
      <c r="AJ184" s="4">
        <f t="shared" si="27"/>
        <v>0.355401965334779</v>
      </c>
    </row>
    <row r="185" spans="1:36">
      <c r="A185" t="str">
        <f>"post-semis_procurement_archetype_"&amp;TEXT(ROUND(Table2691617[[#This Row],[2016]],3),"0.0")</f>
        <v>post-semis_procurement_archetype_2.0</v>
      </c>
      <c r="B185" s="4">
        <f t="shared" si="24"/>
        <v>2</v>
      </c>
      <c r="C185" s="4">
        <f t="shared" si="31"/>
        <v>2</v>
      </c>
      <c r="D185" s="4">
        <f t="shared" si="31"/>
        <v>2</v>
      </c>
      <c r="E185" s="4">
        <f t="shared" si="31"/>
        <v>1.95590337258154</v>
      </c>
      <c r="F185" s="4">
        <f t="shared" si="31"/>
        <v>1.84929720402723</v>
      </c>
      <c r="G185" s="4">
        <f t="shared" si="31"/>
        <v>1.86420100697339</v>
      </c>
      <c r="H185" s="4">
        <f t="shared" si="31"/>
        <v>1.81792752767292</v>
      </c>
      <c r="I185" s="4">
        <f t="shared" si="31"/>
        <v>1.72841467817616</v>
      </c>
      <c r="J185" s="4">
        <f t="shared" si="31"/>
        <v>1.67813085146946</v>
      </c>
      <c r="K185" s="4">
        <f t="shared" si="31"/>
        <v>1.62651344030106</v>
      </c>
      <c r="L185" s="4">
        <f t="shared" si="31"/>
        <v>1.54497769837401</v>
      </c>
      <c r="M185" s="4">
        <f t="shared" si="31"/>
        <v>1.5350817939318</v>
      </c>
      <c r="N185" s="4">
        <f t="shared" si="31"/>
        <v>1.46827328219826</v>
      </c>
      <c r="O185" s="4">
        <f t="shared" si="31"/>
        <v>1.39899841102317</v>
      </c>
      <c r="P185" s="4">
        <f t="shared" si="31"/>
        <v>1.31710117571321</v>
      </c>
      <c r="Q185" s="4">
        <f t="shared" si="31"/>
        <v>1.18486696364501</v>
      </c>
      <c r="R185" s="4">
        <f t="shared" si="31"/>
        <v>1.0064788128208</v>
      </c>
      <c r="S185" s="4">
        <f t="shared" si="30"/>
        <v>0.949590480059343</v>
      </c>
      <c r="T185" s="4">
        <f t="shared" si="30"/>
        <v>0.82593125837577</v>
      </c>
      <c r="U185" s="4">
        <f t="shared" si="30"/>
        <v>0.701311340215127</v>
      </c>
      <c r="V185" s="4">
        <f t="shared" si="30"/>
        <v>0.676168964064113</v>
      </c>
      <c r="W185" s="4">
        <f t="shared" si="30"/>
        <v>0.600306035539821</v>
      </c>
      <c r="X185" s="4">
        <f t="shared" si="30"/>
        <v>0.561809884642984</v>
      </c>
      <c r="Y185" s="4">
        <f t="shared" si="30"/>
        <v>0.521767432169108</v>
      </c>
      <c r="Z185" s="4">
        <f t="shared" si="30"/>
        <v>0.515510365127522</v>
      </c>
      <c r="AA185" s="4">
        <f t="shared" si="30"/>
        <v>0.496364922899376</v>
      </c>
      <c r="AB185" s="4">
        <f t="shared" si="30"/>
        <v>0.468408510239088</v>
      </c>
      <c r="AC185" s="4">
        <f t="shared" si="30"/>
        <v>0.445511345529991</v>
      </c>
      <c r="AD185" s="4">
        <f t="shared" si="30"/>
        <v>0.441724339186233</v>
      </c>
      <c r="AE185" s="4">
        <f t="shared" si="30"/>
        <v>0.426280478827933</v>
      </c>
      <c r="AF185" s="4">
        <f t="shared" si="30"/>
        <v>0.416011063532145</v>
      </c>
      <c r="AG185" s="4">
        <f t="shared" si="30"/>
        <v>0.408309737511457</v>
      </c>
      <c r="AH185" s="4">
        <f t="shared" si="27"/>
        <v>0.379451077216556</v>
      </c>
      <c r="AI185" s="4">
        <f t="shared" si="27"/>
        <v>0.363166314527712</v>
      </c>
      <c r="AJ185" s="4">
        <f t="shared" si="27"/>
        <v>0.355401965334779</v>
      </c>
    </row>
    <row r="186" spans="1:36">
      <c r="A186" t="str">
        <f>"post-semis_procurement_archetype_"&amp;TEXT(ROUND(Table2691617[[#This Row],[2016]],3),"0.0")</f>
        <v>post-semis_procurement_archetype_1.9</v>
      </c>
      <c r="B186" s="4">
        <f t="shared" si="24"/>
        <v>1.9</v>
      </c>
      <c r="C186" s="4">
        <f t="shared" si="31"/>
        <v>1.9</v>
      </c>
      <c r="D186" s="4">
        <f t="shared" si="31"/>
        <v>1.9</v>
      </c>
      <c r="E186" s="4">
        <f t="shared" si="31"/>
        <v>1.8585846738168</v>
      </c>
      <c r="F186" s="4">
        <f t="shared" si="31"/>
        <v>1.75846070737554</v>
      </c>
      <c r="G186" s="4">
        <f t="shared" si="31"/>
        <v>1.77245828262155</v>
      </c>
      <c r="H186" s="4">
        <f t="shared" si="31"/>
        <v>1.7289984683216</v>
      </c>
      <c r="I186" s="4">
        <f t="shared" si="31"/>
        <v>1.64492845942236</v>
      </c>
      <c r="J186" s="4">
        <f t="shared" si="31"/>
        <v>1.59770214741814</v>
      </c>
      <c r="K186" s="4">
        <f t="shared" si="31"/>
        <v>1.54922333973098</v>
      </c>
      <c r="L186" s="4">
        <f t="shared" si="31"/>
        <v>1.47264538932553</v>
      </c>
      <c r="M186" s="4">
        <f t="shared" si="31"/>
        <v>1.46335120665567</v>
      </c>
      <c r="N186" s="4">
        <f t="shared" si="31"/>
        <v>1.40060499527305</v>
      </c>
      <c r="O186" s="4">
        <f t="shared" si="31"/>
        <v>1.33554239175942</v>
      </c>
      <c r="P186" s="4">
        <f t="shared" si="31"/>
        <v>1.2586249286238</v>
      </c>
      <c r="Q186" s="4">
        <f t="shared" si="31"/>
        <v>1.1344312352283</v>
      </c>
      <c r="R186" s="4">
        <f t="shared" si="31"/>
        <v>0.966889999398771</v>
      </c>
      <c r="S186" s="4">
        <f t="shared" si="30"/>
        <v>0.913460769199904</v>
      </c>
      <c r="T186" s="4">
        <f t="shared" si="30"/>
        <v>0.797320662769849</v>
      </c>
      <c r="U186" s="4">
        <f t="shared" si="30"/>
        <v>0.680278275138483</v>
      </c>
      <c r="V186" s="4">
        <f t="shared" si="30"/>
        <v>0.656664684479185</v>
      </c>
      <c r="W186" s="4">
        <f t="shared" si="30"/>
        <v>0.585414611310745</v>
      </c>
      <c r="X186" s="4">
        <f t="shared" si="30"/>
        <v>0.549259223936995</v>
      </c>
      <c r="Y186" s="4">
        <f t="shared" si="30"/>
        <v>0.511651558057159</v>
      </c>
      <c r="Z186" s="4">
        <f t="shared" si="30"/>
        <v>0.505774952800744</v>
      </c>
      <c r="AA186" s="4">
        <f t="shared" si="30"/>
        <v>0.487793651707672</v>
      </c>
      <c r="AB186" s="4">
        <f t="shared" si="30"/>
        <v>0.461537132399498</v>
      </c>
      <c r="AC186" s="4">
        <f t="shared" si="30"/>
        <v>0.440032232804823</v>
      </c>
      <c r="AD186" s="4">
        <f t="shared" si="30"/>
        <v>0.436475495880335</v>
      </c>
      <c r="AE186" s="4">
        <f t="shared" si="30"/>
        <v>0.42197070148422</v>
      </c>
      <c r="AF186" s="4">
        <f t="shared" si="30"/>
        <v>0.412325719337404</v>
      </c>
      <c r="AG186" s="4">
        <f t="shared" si="30"/>
        <v>0.40509267345924</v>
      </c>
      <c r="AH186" s="4">
        <f t="shared" si="27"/>
        <v>0.377988767802653</v>
      </c>
      <c r="AI186" s="4">
        <f t="shared" si="27"/>
        <v>0.362694202252902</v>
      </c>
      <c r="AJ186" s="4">
        <f t="shared" si="27"/>
        <v>0.355401965334779</v>
      </c>
    </row>
    <row r="187" spans="1:36">
      <c r="A187" t="str">
        <f>"post-semis_procurement_archetype_"&amp;TEXT(ROUND(Table2691617[[#This Row],[2016]],3),"0.0")</f>
        <v>post-semis_procurement_archetype_1.8</v>
      </c>
      <c r="B187" s="4">
        <f t="shared" si="24"/>
        <v>1.8</v>
      </c>
      <c r="C187" s="4">
        <f t="shared" si="31"/>
        <v>1.8</v>
      </c>
      <c r="D187" s="4">
        <f t="shared" si="31"/>
        <v>1.8</v>
      </c>
      <c r="E187" s="4">
        <f t="shared" si="31"/>
        <v>1.76126597505205</v>
      </c>
      <c r="F187" s="4">
        <f t="shared" si="31"/>
        <v>1.66762421072385</v>
      </c>
      <c r="G187" s="4">
        <f t="shared" si="31"/>
        <v>1.68071555826972</v>
      </c>
      <c r="H187" s="4">
        <f t="shared" si="31"/>
        <v>1.64006940897028</v>
      </c>
      <c r="I187" s="4">
        <f t="shared" si="31"/>
        <v>1.56144224066855</v>
      </c>
      <c r="J187" s="4">
        <f t="shared" si="31"/>
        <v>1.51727344336682</v>
      </c>
      <c r="K187" s="4">
        <f t="shared" si="31"/>
        <v>1.4719332391609</v>
      </c>
      <c r="L187" s="4">
        <f t="shared" si="31"/>
        <v>1.40031308027706</v>
      </c>
      <c r="M187" s="4">
        <f t="shared" si="31"/>
        <v>1.39162061937954</v>
      </c>
      <c r="N187" s="4">
        <f t="shared" si="31"/>
        <v>1.33293670834785</v>
      </c>
      <c r="O187" s="4">
        <f t="shared" si="31"/>
        <v>1.27208637249567</v>
      </c>
      <c r="P187" s="4">
        <f t="shared" si="31"/>
        <v>1.20014868153438</v>
      </c>
      <c r="Q187" s="4">
        <f t="shared" si="31"/>
        <v>1.0839955068116</v>
      </c>
      <c r="R187" s="4">
        <f t="shared" si="31"/>
        <v>0.927301185976739</v>
      </c>
      <c r="S187" s="4">
        <f t="shared" si="30"/>
        <v>0.877331058340465</v>
      </c>
      <c r="T187" s="4">
        <f t="shared" si="30"/>
        <v>0.768710067163928</v>
      </c>
      <c r="U187" s="4">
        <f t="shared" si="30"/>
        <v>0.659245210061839</v>
      </c>
      <c r="V187" s="4">
        <f t="shared" si="30"/>
        <v>0.637160404894257</v>
      </c>
      <c r="W187" s="4">
        <f t="shared" si="30"/>
        <v>0.570523187081669</v>
      </c>
      <c r="X187" s="4">
        <f t="shared" si="30"/>
        <v>0.536708563231005</v>
      </c>
      <c r="Y187" s="4">
        <f t="shared" si="30"/>
        <v>0.501535683945209</v>
      </c>
      <c r="Z187" s="4">
        <f t="shared" si="30"/>
        <v>0.496039540473967</v>
      </c>
      <c r="AA187" s="4">
        <f t="shared" si="30"/>
        <v>0.479222380515967</v>
      </c>
      <c r="AB187" s="4">
        <f t="shared" si="30"/>
        <v>0.454665754559909</v>
      </c>
      <c r="AC187" s="4">
        <f t="shared" si="30"/>
        <v>0.434553120079654</v>
      </c>
      <c r="AD187" s="4">
        <f t="shared" si="30"/>
        <v>0.431226652574437</v>
      </c>
      <c r="AE187" s="4">
        <f t="shared" si="30"/>
        <v>0.417660924140506</v>
      </c>
      <c r="AF187" s="4">
        <f t="shared" si="30"/>
        <v>0.408640375142662</v>
      </c>
      <c r="AG187" s="4">
        <f t="shared" si="30"/>
        <v>0.401875609407023</v>
      </c>
      <c r="AH187" s="4">
        <f t="shared" si="27"/>
        <v>0.37652645838875</v>
      </c>
      <c r="AI187" s="4">
        <f t="shared" si="27"/>
        <v>0.362222089978093</v>
      </c>
      <c r="AJ187" s="4">
        <f t="shared" si="27"/>
        <v>0.355401965334779</v>
      </c>
    </row>
    <row r="188" spans="1:36">
      <c r="A188" t="str">
        <f>"post-semis_procurement_archetype_"&amp;TEXT(ROUND(Table2691617[[#This Row],[2016]],3),"0.0")</f>
        <v>post-semis_procurement_archetype_1.7</v>
      </c>
      <c r="B188" s="4">
        <f t="shared" si="24"/>
        <v>1.7</v>
      </c>
      <c r="C188" s="4">
        <f t="shared" si="31"/>
        <v>1.7</v>
      </c>
      <c r="D188" s="4">
        <f t="shared" si="31"/>
        <v>1.7</v>
      </c>
      <c r="E188" s="4">
        <f t="shared" si="31"/>
        <v>1.66394727628731</v>
      </c>
      <c r="F188" s="4">
        <f t="shared" si="31"/>
        <v>1.57678771407216</v>
      </c>
      <c r="G188" s="4">
        <f t="shared" si="31"/>
        <v>1.58897283391788</v>
      </c>
      <c r="H188" s="4">
        <f t="shared" si="31"/>
        <v>1.55114034961895</v>
      </c>
      <c r="I188" s="4">
        <f t="shared" si="31"/>
        <v>1.47795602191475</v>
      </c>
      <c r="J188" s="4">
        <f t="shared" si="31"/>
        <v>1.43684473931551</v>
      </c>
      <c r="K188" s="4">
        <f t="shared" si="31"/>
        <v>1.39464313859083</v>
      </c>
      <c r="L188" s="4">
        <f t="shared" si="31"/>
        <v>1.32798077122858</v>
      </c>
      <c r="M188" s="4">
        <f t="shared" si="31"/>
        <v>1.31989003210342</v>
      </c>
      <c r="N188" s="4">
        <f t="shared" si="31"/>
        <v>1.26526842142265</v>
      </c>
      <c r="O188" s="4">
        <f t="shared" si="31"/>
        <v>1.20863035323192</v>
      </c>
      <c r="P188" s="4">
        <f t="shared" si="31"/>
        <v>1.14167243444497</v>
      </c>
      <c r="Q188" s="4">
        <f t="shared" si="31"/>
        <v>1.03355977839489</v>
      </c>
      <c r="R188" s="4">
        <f t="shared" ref="R188:AG200" si="32">(($B188-$AJ$2)*((R$2-$AJ$2)/($B$2-$AJ$2)))+$AJ$2</f>
        <v>0.887712372554707</v>
      </c>
      <c r="S188" s="4">
        <f t="shared" si="32"/>
        <v>0.841201347481026</v>
      </c>
      <c r="T188" s="4">
        <f t="shared" si="32"/>
        <v>0.740099471558007</v>
      </c>
      <c r="U188" s="4">
        <f t="shared" si="32"/>
        <v>0.638212144985195</v>
      </c>
      <c r="V188" s="4">
        <f t="shared" si="32"/>
        <v>0.61765612530933</v>
      </c>
      <c r="W188" s="4">
        <f t="shared" si="32"/>
        <v>0.555631762852593</v>
      </c>
      <c r="X188" s="4">
        <f t="shared" si="32"/>
        <v>0.524157902525015</v>
      </c>
      <c r="Y188" s="4">
        <f t="shared" si="32"/>
        <v>0.49141980983326</v>
      </c>
      <c r="Z188" s="4">
        <f t="shared" si="32"/>
        <v>0.486304128147189</v>
      </c>
      <c r="AA188" s="4">
        <f t="shared" si="32"/>
        <v>0.470651109324263</v>
      </c>
      <c r="AB188" s="4">
        <f t="shared" si="32"/>
        <v>0.447794376720319</v>
      </c>
      <c r="AC188" s="4">
        <f t="shared" si="32"/>
        <v>0.429074007354486</v>
      </c>
      <c r="AD188" s="4">
        <f t="shared" si="32"/>
        <v>0.425977809268539</v>
      </c>
      <c r="AE188" s="4">
        <f t="shared" si="32"/>
        <v>0.413351146796793</v>
      </c>
      <c r="AF188" s="4">
        <f t="shared" si="32"/>
        <v>0.404955030947921</v>
      </c>
      <c r="AG188" s="4">
        <f t="shared" si="32"/>
        <v>0.398658545354807</v>
      </c>
      <c r="AH188" s="4">
        <f t="shared" si="27"/>
        <v>0.375064148974846</v>
      </c>
      <c r="AI188" s="4">
        <f t="shared" si="27"/>
        <v>0.361749977703283</v>
      </c>
      <c r="AJ188" s="4">
        <f t="shared" si="27"/>
        <v>0.355401965334779</v>
      </c>
    </row>
    <row r="189" spans="1:36">
      <c r="A189" t="str">
        <f>"post-semis_procurement_archetype_"&amp;TEXT(ROUND(Table2691617[[#This Row],[2016]],3),"0.0")</f>
        <v>post-semis_procurement_archetype_1.6</v>
      </c>
      <c r="B189" s="4">
        <f t="shared" si="24"/>
        <v>1.6</v>
      </c>
      <c r="C189" s="4">
        <f t="shared" ref="C189:R200" si="33">(($B189-$AJ$2)*((C$2-$AJ$2)/($B$2-$AJ$2)))+$AJ$2</f>
        <v>1.6</v>
      </c>
      <c r="D189" s="4">
        <f t="shared" si="33"/>
        <v>1.6</v>
      </c>
      <c r="E189" s="4">
        <f t="shared" si="33"/>
        <v>1.56662857752256</v>
      </c>
      <c r="F189" s="4">
        <f t="shared" si="33"/>
        <v>1.48595121742047</v>
      </c>
      <c r="G189" s="4">
        <f t="shared" si="33"/>
        <v>1.49723010956605</v>
      </c>
      <c r="H189" s="4">
        <f t="shared" si="33"/>
        <v>1.46221129026763</v>
      </c>
      <c r="I189" s="4">
        <f t="shared" si="33"/>
        <v>1.39446980316094</v>
      </c>
      <c r="J189" s="4">
        <f t="shared" si="33"/>
        <v>1.35641603526419</v>
      </c>
      <c r="K189" s="4">
        <f t="shared" si="33"/>
        <v>1.31735303802075</v>
      </c>
      <c r="L189" s="4">
        <f t="shared" si="33"/>
        <v>1.2556484621801</v>
      </c>
      <c r="M189" s="4">
        <f t="shared" si="33"/>
        <v>1.24815944482729</v>
      </c>
      <c r="N189" s="4">
        <f t="shared" si="33"/>
        <v>1.19760013449745</v>
      </c>
      <c r="O189" s="4">
        <f t="shared" si="33"/>
        <v>1.14517433396817</v>
      </c>
      <c r="P189" s="4">
        <f t="shared" si="33"/>
        <v>1.08319618735556</v>
      </c>
      <c r="Q189" s="4">
        <f t="shared" si="33"/>
        <v>0.983124049978187</v>
      </c>
      <c r="R189" s="4">
        <f t="shared" si="33"/>
        <v>0.848123559132674</v>
      </c>
      <c r="S189" s="4">
        <f t="shared" si="32"/>
        <v>0.805071636621586</v>
      </c>
      <c r="T189" s="4">
        <f t="shared" si="32"/>
        <v>0.711488875952086</v>
      </c>
      <c r="U189" s="4">
        <f t="shared" si="32"/>
        <v>0.61717907990855</v>
      </c>
      <c r="V189" s="4">
        <f t="shared" si="32"/>
        <v>0.598151845724402</v>
      </c>
      <c r="W189" s="4">
        <f t="shared" si="32"/>
        <v>0.540740338623517</v>
      </c>
      <c r="X189" s="4">
        <f t="shared" si="32"/>
        <v>0.511607241819026</v>
      </c>
      <c r="Y189" s="4">
        <f t="shared" si="32"/>
        <v>0.48130393572131</v>
      </c>
      <c r="Z189" s="4">
        <f t="shared" si="32"/>
        <v>0.476568715820411</v>
      </c>
      <c r="AA189" s="4">
        <f t="shared" si="32"/>
        <v>0.462079838132558</v>
      </c>
      <c r="AB189" s="4">
        <f t="shared" si="32"/>
        <v>0.44092299888073</v>
      </c>
      <c r="AC189" s="4">
        <f t="shared" si="32"/>
        <v>0.423594894629317</v>
      </c>
      <c r="AD189" s="4">
        <f t="shared" si="32"/>
        <v>0.420728965962641</v>
      </c>
      <c r="AE189" s="4">
        <f t="shared" si="32"/>
        <v>0.40904136945308</v>
      </c>
      <c r="AF189" s="4">
        <f t="shared" si="32"/>
        <v>0.40126968675318</v>
      </c>
      <c r="AG189" s="4">
        <f t="shared" si="32"/>
        <v>0.39544148130259</v>
      </c>
      <c r="AH189" s="4">
        <f t="shared" si="27"/>
        <v>0.373601839560943</v>
      </c>
      <c r="AI189" s="4">
        <f t="shared" si="27"/>
        <v>0.361277865428473</v>
      </c>
      <c r="AJ189" s="4">
        <f t="shared" si="27"/>
        <v>0.355401965334779</v>
      </c>
    </row>
    <row r="190" spans="1:36">
      <c r="A190" t="str">
        <f>"post-semis_procurement_archetype_"&amp;TEXT(ROUND(Table2691617[[#This Row],[2016]],3),"0.0")</f>
        <v>post-semis_procurement_archetype_1.5</v>
      </c>
      <c r="B190" s="4">
        <f t="shared" si="24"/>
        <v>1.5</v>
      </c>
      <c r="C190" s="4">
        <f t="shared" si="33"/>
        <v>1.5</v>
      </c>
      <c r="D190" s="4">
        <f t="shared" si="33"/>
        <v>1.5</v>
      </c>
      <c r="E190" s="4">
        <f t="shared" si="33"/>
        <v>1.46930987875782</v>
      </c>
      <c r="F190" s="4">
        <f t="shared" si="33"/>
        <v>1.39511472076878</v>
      </c>
      <c r="G190" s="4">
        <f t="shared" si="33"/>
        <v>1.40548738521421</v>
      </c>
      <c r="H190" s="4">
        <f t="shared" si="33"/>
        <v>1.3732822309163</v>
      </c>
      <c r="I190" s="4">
        <f t="shared" si="33"/>
        <v>1.31098358440714</v>
      </c>
      <c r="J190" s="4">
        <f t="shared" si="33"/>
        <v>1.27598733121287</v>
      </c>
      <c r="K190" s="4">
        <f t="shared" si="33"/>
        <v>1.24006293745067</v>
      </c>
      <c r="L190" s="4">
        <f t="shared" si="33"/>
        <v>1.18331615313162</v>
      </c>
      <c r="M190" s="4">
        <f t="shared" si="33"/>
        <v>1.17642885755116</v>
      </c>
      <c r="N190" s="4">
        <f t="shared" si="33"/>
        <v>1.12993184757225</v>
      </c>
      <c r="O190" s="4">
        <f t="shared" si="33"/>
        <v>1.08171831470442</v>
      </c>
      <c r="P190" s="4">
        <f t="shared" si="33"/>
        <v>1.02471994026615</v>
      </c>
      <c r="Q190" s="4">
        <f t="shared" si="33"/>
        <v>0.932688321561482</v>
      </c>
      <c r="R190" s="4">
        <f t="shared" si="33"/>
        <v>0.808534745710642</v>
      </c>
      <c r="S190" s="4">
        <f t="shared" si="32"/>
        <v>0.768941925762147</v>
      </c>
      <c r="T190" s="4">
        <f t="shared" si="32"/>
        <v>0.682878280346165</v>
      </c>
      <c r="U190" s="4">
        <f t="shared" si="32"/>
        <v>0.596146014831906</v>
      </c>
      <c r="V190" s="4">
        <f t="shared" si="32"/>
        <v>0.578647566139474</v>
      </c>
      <c r="W190" s="4">
        <f t="shared" si="32"/>
        <v>0.525848914394442</v>
      </c>
      <c r="X190" s="4">
        <f t="shared" si="32"/>
        <v>0.499056581113036</v>
      </c>
      <c r="Y190" s="4">
        <f t="shared" si="32"/>
        <v>0.471188061609361</v>
      </c>
      <c r="Z190" s="4">
        <f t="shared" si="32"/>
        <v>0.466833303493633</v>
      </c>
      <c r="AA190" s="4">
        <f t="shared" si="32"/>
        <v>0.453508566940854</v>
      </c>
      <c r="AB190" s="4">
        <f t="shared" si="32"/>
        <v>0.434051621041141</v>
      </c>
      <c r="AC190" s="4">
        <f t="shared" si="32"/>
        <v>0.418115781904149</v>
      </c>
      <c r="AD190" s="4">
        <f t="shared" si="32"/>
        <v>0.415480122656744</v>
      </c>
      <c r="AE190" s="4">
        <f t="shared" si="32"/>
        <v>0.404731592109367</v>
      </c>
      <c r="AF190" s="4">
        <f t="shared" si="32"/>
        <v>0.397584342558438</v>
      </c>
      <c r="AG190" s="4">
        <f t="shared" si="32"/>
        <v>0.392224417250373</v>
      </c>
      <c r="AH190" s="4">
        <f t="shared" si="27"/>
        <v>0.37213953014704</v>
      </c>
      <c r="AI190" s="4">
        <f t="shared" si="27"/>
        <v>0.360805753153664</v>
      </c>
      <c r="AJ190" s="4">
        <f t="shared" si="27"/>
        <v>0.355401965334779</v>
      </c>
    </row>
    <row r="191" spans="1:36">
      <c r="A191" t="str">
        <f>"post-semis_procurement_archetype_"&amp;TEXT(ROUND(Table2691617[[#This Row],[2016]],3),"0.0")</f>
        <v>post-semis_procurement_archetype_1.4</v>
      </c>
      <c r="B191" s="4">
        <f t="shared" si="24"/>
        <v>1.4</v>
      </c>
      <c r="C191" s="4">
        <f t="shared" si="33"/>
        <v>1.4</v>
      </c>
      <c r="D191" s="4">
        <f t="shared" si="33"/>
        <v>1.4</v>
      </c>
      <c r="E191" s="4">
        <f t="shared" si="33"/>
        <v>1.37199117999307</v>
      </c>
      <c r="F191" s="4">
        <f t="shared" si="33"/>
        <v>1.30427822411708</v>
      </c>
      <c r="G191" s="4">
        <f t="shared" si="33"/>
        <v>1.31374466086238</v>
      </c>
      <c r="H191" s="4">
        <f t="shared" si="33"/>
        <v>1.28435317156498</v>
      </c>
      <c r="I191" s="4">
        <f t="shared" si="33"/>
        <v>1.22749736565333</v>
      </c>
      <c r="J191" s="4">
        <f t="shared" si="33"/>
        <v>1.19555862716155</v>
      </c>
      <c r="K191" s="4">
        <f t="shared" si="33"/>
        <v>1.16277283688059</v>
      </c>
      <c r="L191" s="4">
        <f t="shared" si="33"/>
        <v>1.11098384408315</v>
      </c>
      <c r="M191" s="4">
        <f t="shared" si="33"/>
        <v>1.10469827027503</v>
      </c>
      <c r="N191" s="4">
        <f t="shared" si="33"/>
        <v>1.06226356064705</v>
      </c>
      <c r="O191" s="4">
        <f t="shared" si="33"/>
        <v>1.01826229544068</v>
      </c>
      <c r="P191" s="4">
        <f t="shared" si="33"/>
        <v>0.966243693176742</v>
      </c>
      <c r="Q191" s="4">
        <f t="shared" si="33"/>
        <v>0.882252593144776</v>
      </c>
      <c r="R191" s="4">
        <f t="shared" si="33"/>
        <v>0.76894593228861</v>
      </c>
      <c r="S191" s="4">
        <f t="shared" si="32"/>
        <v>0.732812214902708</v>
      </c>
      <c r="T191" s="4">
        <f t="shared" si="32"/>
        <v>0.654267684740244</v>
      </c>
      <c r="U191" s="4">
        <f t="shared" si="32"/>
        <v>0.575112949755262</v>
      </c>
      <c r="V191" s="4">
        <f t="shared" si="32"/>
        <v>0.559143286554546</v>
      </c>
      <c r="W191" s="4">
        <f t="shared" si="32"/>
        <v>0.510957490165366</v>
      </c>
      <c r="X191" s="4">
        <f t="shared" si="32"/>
        <v>0.486505920407047</v>
      </c>
      <c r="Y191" s="4">
        <f t="shared" si="32"/>
        <v>0.461072187497411</v>
      </c>
      <c r="Z191" s="4">
        <f t="shared" si="32"/>
        <v>0.457097891166855</v>
      </c>
      <c r="AA191" s="4">
        <f t="shared" si="32"/>
        <v>0.444937295749149</v>
      </c>
      <c r="AB191" s="4">
        <f t="shared" si="32"/>
        <v>0.427180243201551</v>
      </c>
      <c r="AC191" s="4">
        <f t="shared" si="32"/>
        <v>0.41263666917898</v>
      </c>
      <c r="AD191" s="4">
        <f t="shared" si="32"/>
        <v>0.410231279350846</v>
      </c>
      <c r="AE191" s="4">
        <f t="shared" si="32"/>
        <v>0.400421814765654</v>
      </c>
      <c r="AF191" s="4">
        <f t="shared" si="32"/>
        <v>0.393898998363697</v>
      </c>
      <c r="AG191" s="4">
        <f t="shared" si="32"/>
        <v>0.389007353198156</v>
      </c>
      <c r="AH191" s="4">
        <f t="shared" si="27"/>
        <v>0.370677220733137</v>
      </c>
      <c r="AI191" s="4">
        <f t="shared" si="27"/>
        <v>0.360333640878854</v>
      </c>
      <c r="AJ191" s="4">
        <f t="shared" si="27"/>
        <v>0.355401965334779</v>
      </c>
    </row>
    <row r="192" spans="1:36">
      <c r="A192" t="str">
        <f>"post-semis_procurement_archetype_"&amp;TEXT(ROUND(Table2691617[[#This Row],[2016]],3),"0.0")</f>
        <v>post-semis_procurement_archetype_1.3</v>
      </c>
      <c r="B192" s="4">
        <f t="shared" si="24"/>
        <v>1.3</v>
      </c>
      <c r="C192" s="4">
        <f t="shared" si="33"/>
        <v>1.3</v>
      </c>
      <c r="D192" s="4">
        <f t="shared" si="33"/>
        <v>1.3</v>
      </c>
      <c r="E192" s="4">
        <f t="shared" si="33"/>
        <v>1.27467248122833</v>
      </c>
      <c r="F192" s="4">
        <f t="shared" si="33"/>
        <v>1.21344172746539</v>
      </c>
      <c r="G192" s="4">
        <f t="shared" si="33"/>
        <v>1.22200193651054</v>
      </c>
      <c r="H192" s="4">
        <f t="shared" si="33"/>
        <v>1.19542411221366</v>
      </c>
      <c r="I192" s="4">
        <f t="shared" si="33"/>
        <v>1.14401114689953</v>
      </c>
      <c r="J192" s="4">
        <f t="shared" si="33"/>
        <v>1.11512992311023</v>
      </c>
      <c r="K192" s="4">
        <f t="shared" si="33"/>
        <v>1.08548273631051</v>
      </c>
      <c r="L192" s="4">
        <f t="shared" si="33"/>
        <v>1.03865153503467</v>
      </c>
      <c r="M192" s="4">
        <f t="shared" si="33"/>
        <v>1.0329676829989</v>
      </c>
      <c r="N192" s="4">
        <f t="shared" si="33"/>
        <v>0.994595273721849</v>
      </c>
      <c r="O192" s="4">
        <f t="shared" si="33"/>
        <v>0.954806276176928</v>
      </c>
      <c r="P192" s="4">
        <f t="shared" si="33"/>
        <v>0.907767446087331</v>
      </c>
      <c r="Q192" s="4">
        <f t="shared" si="33"/>
        <v>0.83181686472807</v>
      </c>
      <c r="R192" s="4">
        <f t="shared" si="33"/>
        <v>0.729357118866577</v>
      </c>
      <c r="S192" s="4">
        <f t="shared" si="32"/>
        <v>0.696682504043269</v>
      </c>
      <c r="T192" s="4">
        <f t="shared" si="32"/>
        <v>0.625657089134323</v>
      </c>
      <c r="U192" s="4">
        <f t="shared" si="32"/>
        <v>0.554079884678617</v>
      </c>
      <c r="V192" s="4">
        <f t="shared" si="32"/>
        <v>0.539639006969618</v>
      </c>
      <c r="W192" s="4">
        <f t="shared" si="32"/>
        <v>0.49606606593629</v>
      </c>
      <c r="X192" s="4">
        <f t="shared" si="32"/>
        <v>0.473955259701057</v>
      </c>
      <c r="Y192" s="4">
        <f t="shared" si="32"/>
        <v>0.450956313385462</v>
      </c>
      <c r="Z192" s="4">
        <f t="shared" si="32"/>
        <v>0.447362478840078</v>
      </c>
      <c r="AA192" s="4">
        <f t="shared" si="32"/>
        <v>0.436366024557445</v>
      </c>
      <c r="AB192" s="4">
        <f t="shared" si="32"/>
        <v>0.420308865361962</v>
      </c>
      <c r="AC192" s="4">
        <f t="shared" si="32"/>
        <v>0.407157556453812</v>
      </c>
      <c r="AD192" s="4">
        <f t="shared" si="32"/>
        <v>0.404982436044948</v>
      </c>
      <c r="AE192" s="4">
        <f t="shared" si="32"/>
        <v>0.39611203742194</v>
      </c>
      <c r="AF192" s="4">
        <f t="shared" si="32"/>
        <v>0.390213654168955</v>
      </c>
      <c r="AG192" s="4">
        <f t="shared" si="32"/>
        <v>0.38579028914594</v>
      </c>
      <c r="AH192" s="4">
        <f t="shared" si="27"/>
        <v>0.369214911319233</v>
      </c>
      <c r="AI192" s="4">
        <f t="shared" si="27"/>
        <v>0.359861528604044</v>
      </c>
      <c r="AJ192" s="4">
        <f t="shared" si="27"/>
        <v>0.355401965334779</v>
      </c>
    </row>
    <row r="193" spans="1:36">
      <c r="A193" t="str">
        <f>"post-semis_procurement_archetype_"&amp;TEXT(ROUND(Table2691617[[#This Row],[2016]],3),"0.0")</f>
        <v>post-semis_procurement_archetype_1.2</v>
      </c>
      <c r="B193" s="4">
        <f t="shared" si="24"/>
        <v>1.2</v>
      </c>
      <c r="C193" s="4">
        <f t="shared" si="33"/>
        <v>1.2</v>
      </c>
      <c r="D193" s="4">
        <f t="shared" si="33"/>
        <v>1.2</v>
      </c>
      <c r="E193" s="4">
        <f t="shared" si="33"/>
        <v>1.17735378246358</v>
      </c>
      <c r="F193" s="4">
        <f t="shared" si="33"/>
        <v>1.1226052308137</v>
      </c>
      <c r="G193" s="4">
        <f t="shared" si="33"/>
        <v>1.13025921215871</v>
      </c>
      <c r="H193" s="4">
        <f t="shared" si="33"/>
        <v>1.10649505286233</v>
      </c>
      <c r="I193" s="4">
        <f t="shared" si="33"/>
        <v>1.06052492814572</v>
      </c>
      <c r="J193" s="4">
        <f t="shared" si="33"/>
        <v>1.03470121905892</v>
      </c>
      <c r="K193" s="4">
        <f t="shared" si="33"/>
        <v>1.00819263574043</v>
      </c>
      <c r="L193" s="4">
        <f t="shared" si="33"/>
        <v>0.966319225986193</v>
      </c>
      <c r="M193" s="4">
        <f t="shared" si="33"/>
        <v>0.961237095722777</v>
      </c>
      <c r="N193" s="4">
        <f t="shared" si="33"/>
        <v>0.926926986796648</v>
      </c>
      <c r="O193" s="4">
        <f t="shared" si="33"/>
        <v>0.89135025691318</v>
      </c>
      <c r="P193" s="4">
        <f t="shared" si="33"/>
        <v>0.84929119899792</v>
      </c>
      <c r="Q193" s="4">
        <f t="shared" si="33"/>
        <v>0.781381136311364</v>
      </c>
      <c r="R193" s="4">
        <f t="shared" si="33"/>
        <v>0.689768305444545</v>
      </c>
      <c r="S193" s="4">
        <f t="shared" si="32"/>
        <v>0.66055279318383</v>
      </c>
      <c r="T193" s="4">
        <f t="shared" si="32"/>
        <v>0.597046493528402</v>
      </c>
      <c r="U193" s="4">
        <f t="shared" si="32"/>
        <v>0.533046819601973</v>
      </c>
      <c r="V193" s="4">
        <f t="shared" si="32"/>
        <v>0.52013472738469</v>
      </c>
      <c r="W193" s="4">
        <f t="shared" si="32"/>
        <v>0.481174641707214</v>
      </c>
      <c r="X193" s="4">
        <f t="shared" si="32"/>
        <v>0.461404598995067</v>
      </c>
      <c r="Y193" s="4">
        <f t="shared" si="32"/>
        <v>0.440840439273512</v>
      </c>
      <c r="Z193" s="4">
        <f t="shared" si="32"/>
        <v>0.4376270665133</v>
      </c>
      <c r="AA193" s="4">
        <f t="shared" si="32"/>
        <v>0.427794753365741</v>
      </c>
      <c r="AB193" s="4">
        <f t="shared" si="32"/>
        <v>0.413437487522372</v>
      </c>
      <c r="AC193" s="4">
        <f t="shared" si="32"/>
        <v>0.401678443728643</v>
      </c>
      <c r="AD193" s="4">
        <f t="shared" si="32"/>
        <v>0.39973359273905</v>
      </c>
      <c r="AE193" s="4">
        <f t="shared" si="32"/>
        <v>0.391802260078227</v>
      </c>
      <c r="AF193" s="4">
        <f t="shared" si="32"/>
        <v>0.386528309974214</v>
      </c>
      <c r="AG193" s="4">
        <f t="shared" si="32"/>
        <v>0.382573225093723</v>
      </c>
      <c r="AH193" s="4">
        <f t="shared" si="27"/>
        <v>0.36775260190533</v>
      </c>
      <c r="AI193" s="4">
        <f t="shared" si="27"/>
        <v>0.359389416329234</v>
      </c>
      <c r="AJ193" s="4">
        <f t="shared" si="27"/>
        <v>0.355401965334779</v>
      </c>
    </row>
    <row r="194" spans="1:36">
      <c r="A194" t="str">
        <f>"post-semis_procurement_archetype_"&amp;TEXT(ROUND(Table2691617[[#This Row],[2016]],3),"0.0")</f>
        <v>post-semis_procurement_archetype_1.1</v>
      </c>
      <c r="B194" s="4">
        <f t="shared" si="24"/>
        <v>1.1</v>
      </c>
      <c r="C194" s="4">
        <f t="shared" si="33"/>
        <v>1.1</v>
      </c>
      <c r="D194" s="4">
        <f t="shared" si="33"/>
        <v>1.1</v>
      </c>
      <c r="E194" s="4">
        <f t="shared" si="33"/>
        <v>1.08003508369884</v>
      </c>
      <c r="F194" s="4">
        <f t="shared" si="33"/>
        <v>1.03176873416201</v>
      </c>
      <c r="G194" s="4">
        <f t="shared" si="33"/>
        <v>1.03851648780687</v>
      </c>
      <c r="H194" s="4">
        <f t="shared" si="33"/>
        <v>1.01756599351101</v>
      </c>
      <c r="I194" s="4">
        <f t="shared" si="33"/>
        <v>0.977038709391917</v>
      </c>
      <c r="J194" s="4">
        <f t="shared" si="33"/>
        <v>0.954272515007599</v>
      </c>
      <c r="K194" s="4">
        <f t="shared" si="33"/>
        <v>0.930902535170355</v>
      </c>
      <c r="L194" s="4">
        <f t="shared" si="33"/>
        <v>0.893986916937715</v>
      </c>
      <c r="M194" s="4">
        <f t="shared" si="33"/>
        <v>0.889506508446649</v>
      </c>
      <c r="N194" s="4">
        <f t="shared" si="33"/>
        <v>0.859258699871447</v>
      </c>
      <c r="O194" s="4">
        <f t="shared" si="33"/>
        <v>0.827894237649432</v>
      </c>
      <c r="P194" s="4">
        <f t="shared" si="33"/>
        <v>0.79081495190851</v>
      </c>
      <c r="Q194" s="4">
        <f t="shared" si="33"/>
        <v>0.730945407894659</v>
      </c>
      <c r="R194" s="4">
        <f t="shared" si="33"/>
        <v>0.650179492022513</v>
      </c>
      <c r="S194" s="4">
        <f t="shared" si="32"/>
        <v>0.62442308232439</v>
      </c>
      <c r="T194" s="4">
        <f t="shared" si="32"/>
        <v>0.568435897922481</v>
      </c>
      <c r="U194" s="4">
        <f t="shared" si="32"/>
        <v>0.512013754525329</v>
      </c>
      <c r="V194" s="4">
        <f t="shared" si="32"/>
        <v>0.500630447799762</v>
      </c>
      <c r="W194" s="4">
        <f t="shared" si="32"/>
        <v>0.466283217478138</v>
      </c>
      <c r="X194" s="4">
        <f t="shared" si="32"/>
        <v>0.448853938289078</v>
      </c>
      <c r="Y194" s="4">
        <f t="shared" si="32"/>
        <v>0.430724565161563</v>
      </c>
      <c r="Z194" s="4">
        <f t="shared" si="32"/>
        <v>0.427891654186522</v>
      </c>
      <c r="AA194" s="4">
        <f t="shared" si="32"/>
        <v>0.419223482174036</v>
      </c>
      <c r="AB194" s="4">
        <f t="shared" si="32"/>
        <v>0.406566109682783</v>
      </c>
      <c r="AC194" s="4">
        <f t="shared" si="32"/>
        <v>0.396199331003475</v>
      </c>
      <c r="AD194" s="4">
        <f t="shared" si="32"/>
        <v>0.394484749433152</v>
      </c>
      <c r="AE194" s="4">
        <f t="shared" si="32"/>
        <v>0.387492482734514</v>
      </c>
      <c r="AF194" s="4">
        <f t="shared" si="32"/>
        <v>0.382842965779472</v>
      </c>
      <c r="AG194" s="4">
        <f t="shared" si="32"/>
        <v>0.379356161041506</v>
      </c>
      <c r="AH194" s="4">
        <f t="shared" si="27"/>
        <v>0.366290292491427</v>
      </c>
      <c r="AI194" s="4">
        <f t="shared" si="27"/>
        <v>0.358917304054425</v>
      </c>
      <c r="AJ194" s="4">
        <f t="shared" si="27"/>
        <v>0.355401965334779</v>
      </c>
    </row>
    <row r="195" spans="1:36">
      <c r="A195" t="str">
        <f>"post-semis_procurement_archetype_"&amp;TEXT(ROUND(Table2691617[[#This Row],[2016]],3),"0.0")</f>
        <v>post-semis_procurement_archetype_1.0</v>
      </c>
      <c r="B195" s="4">
        <f t="shared" si="24"/>
        <v>1</v>
      </c>
      <c r="C195" s="4">
        <f t="shared" si="33"/>
        <v>1</v>
      </c>
      <c r="D195" s="4">
        <f t="shared" si="33"/>
        <v>1</v>
      </c>
      <c r="E195" s="4">
        <f t="shared" si="33"/>
        <v>0.982716384934092</v>
      </c>
      <c r="F195" s="4">
        <f t="shared" si="33"/>
        <v>0.940932237510319</v>
      </c>
      <c r="G195" s="4">
        <f t="shared" si="33"/>
        <v>0.946773763455038</v>
      </c>
      <c r="H195" s="4">
        <f t="shared" si="33"/>
        <v>0.928636934159683</v>
      </c>
      <c r="I195" s="4">
        <f t="shared" si="33"/>
        <v>0.893552490638112</v>
      </c>
      <c r="J195" s="4">
        <f t="shared" si="33"/>
        <v>0.873843810956281</v>
      </c>
      <c r="K195" s="4">
        <f t="shared" si="33"/>
        <v>0.853612434600277</v>
      </c>
      <c r="L195" s="4">
        <f t="shared" si="33"/>
        <v>0.821654607889238</v>
      </c>
      <c r="M195" s="4">
        <f t="shared" si="33"/>
        <v>0.817775921170521</v>
      </c>
      <c r="N195" s="4">
        <f t="shared" si="33"/>
        <v>0.791590412946246</v>
      </c>
      <c r="O195" s="4">
        <f t="shared" si="33"/>
        <v>0.764438218385684</v>
      </c>
      <c r="P195" s="4">
        <f t="shared" si="33"/>
        <v>0.732338704819099</v>
      </c>
      <c r="Q195" s="4">
        <f t="shared" si="33"/>
        <v>0.680509679477953</v>
      </c>
      <c r="R195" s="4">
        <f t="shared" si="33"/>
        <v>0.61059067860048</v>
      </c>
      <c r="S195" s="4">
        <f t="shared" si="32"/>
        <v>0.588293371464951</v>
      </c>
      <c r="T195" s="4">
        <f t="shared" si="32"/>
        <v>0.53982530231656</v>
      </c>
      <c r="U195" s="4">
        <f t="shared" si="32"/>
        <v>0.490980689448685</v>
      </c>
      <c r="V195" s="4">
        <f t="shared" si="32"/>
        <v>0.481126168214834</v>
      </c>
      <c r="W195" s="4">
        <f t="shared" si="32"/>
        <v>0.451391793249062</v>
      </c>
      <c r="X195" s="4">
        <f t="shared" si="32"/>
        <v>0.436303277583088</v>
      </c>
      <c r="Y195" s="4">
        <f t="shared" si="32"/>
        <v>0.420608691049613</v>
      </c>
      <c r="Z195" s="4">
        <f t="shared" si="32"/>
        <v>0.418156241859744</v>
      </c>
      <c r="AA195" s="4">
        <f t="shared" si="32"/>
        <v>0.410652210982332</v>
      </c>
      <c r="AB195" s="4">
        <f t="shared" si="32"/>
        <v>0.399694731843193</v>
      </c>
      <c r="AC195" s="4">
        <f t="shared" si="32"/>
        <v>0.390720218278306</v>
      </c>
      <c r="AD195" s="4">
        <f t="shared" si="32"/>
        <v>0.389235906127254</v>
      </c>
      <c r="AE195" s="4">
        <f t="shared" si="32"/>
        <v>0.383182705390801</v>
      </c>
      <c r="AF195" s="4">
        <f t="shared" si="32"/>
        <v>0.379157621584731</v>
      </c>
      <c r="AG195" s="4">
        <f t="shared" si="32"/>
        <v>0.376139096989289</v>
      </c>
      <c r="AH195" s="4">
        <f t="shared" si="27"/>
        <v>0.364827983077524</v>
      </c>
      <c r="AI195" s="4">
        <f t="shared" si="27"/>
        <v>0.358445191779615</v>
      </c>
      <c r="AJ195" s="4">
        <f t="shared" si="27"/>
        <v>0.355401965334779</v>
      </c>
    </row>
    <row r="196" spans="1:36">
      <c r="A196" t="str">
        <f>"post-semis_procurement_archetype_"&amp;TEXT(ROUND(Table2691617[[#This Row],[2016]],3),"0.0")</f>
        <v>post-semis_procurement_archetype_0.9</v>
      </c>
      <c r="B196" s="4">
        <f t="shared" si="24"/>
        <v>0.9</v>
      </c>
      <c r="C196" s="4">
        <f t="shared" si="33"/>
        <v>0.9</v>
      </c>
      <c r="D196" s="4">
        <f t="shared" si="33"/>
        <v>0.9</v>
      </c>
      <c r="E196" s="4">
        <f t="shared" si="33"/>
        <v>0.885397686169347</v>
      </c>
      <c r="F196" s="4">
        <f t="shared" si="33"/>
        <v>0.850095740858628</v>
      </c>
      <c r="G196" s="4">
        <f t="shared" si="33"/>
        <v>0.855031039103204</v>
      </c>
      <c r="H196" s="4">
        <f t="shared" si="33"/>
        <v>0.839707874808358</v>
      </c>
      <c r="I196" s="4">
        <f t="shared" si="33"/>
        <v>0.810066271884308</v>
      </c>
      <c r="J196" s="4">
        <f t="shared" si="33"/>
        <v>0.793415106904963</v>
      </c>
      <c r="K196" s="4">
        <f t="shared" si="33"/>
        <v>0.776322334030198</v>
      </c>
      <c r="L196" s="4">
        <f t="shared" si="33"/>
        <v>0.749322298840761</v>
      </c>
      <c r="M196" s="4">
        <f t="shared" si="33"/>
        <v>0.746045333894393</v>
      </c>
      <c r="N196" s="4">
        <f t="shared" si="33"/>
        <v>0.723922126021046</v>
      </c>
      <c r="O196" s="4">
        <f t="shared" si="33"/>
        <v>0.700982199121936</v>
      </c>
      <c r="P196" s="4">
        <f t="shared" si="33"/>
        <v>0.673862457729688</v>
      </c>
      <c r="Q196" s="4">
        <f t="shared" si="33"/>
        <v>0.630073951061247</v>
      </c>
      <c r="R196" s="4">
        <f t="shared" si="33"/>
        <v>0.571001865178448</v>
      </c>
      <c r="S196" s="4">
        <f t="shared" si="32"/>
        <v>0.552163660605512</v>
      </c>
      <c r="T196" s="4">
        <f t="shared" si="32"/>
        <v>0.511214706710639</v>
      </c>
      <c r="U196" s="4">
        <f t="shared" si="32"/>
        <v>0.46994762437204</v>
      </c>
      <c r="V196" s="4">
        <f t="shared" si="32"/>
        <v>0.461621888629906</v>
      </c>
      <c r="W196" s="4">
        <f t="shared" si="32"/>
        <v>0.436500369019986</v>
      </c>
      <c r="X196" s="4">
        <f t="shared" si="32"/>
        <v>0.423752616877098</v>
      </c>
      <c r="Y196" s="4">
        <f t="shared" si="32"/>
        <v>0.410492816937664</v>
      </c>
      <c r="Z196" s="4">
        <f t="shared" si="32"/>
        <v>0.408420829532966</v>
      </c>
      <c r="AA196" s="4">
        <f t="shared" si="32"/>
        <v>0.402080939790627</v>
      </c>
      <c r="AB196" s="4">
        <f t="shared" si="32"/>
        <v>0.392823354003604</v>
      </c>
      <c r="AC196" s="4">
        <f t="shared" si="32"/>
        <v>0.385241105553138</v>
      </c>
      <c r="AD196" s="4">
        <f t="shared" si="32"/>
        <v>0.383987062821356</v>
      </c>
      <c r="AE196" s="4">
        <f t="shared" si="32"/>
        <v>0.378872928047088</v>
      </c>
      <c r="AF196" s="4">
        <f t="shared" si="32"/>
        <v>0.375472277389989</v>
      </c>
      <c r="AG196" s="4">
        <f t="shared" si="32"/>
        <v>0.372922032937072</v>
      </c>
      <c r="AH196" s="4">
        <f t="shared" si="27"/>
        <v>0.36336567366362</v>
      </c>
      <c r="AI196" s="4">
        <f t="shared" si="27"/>
        <v>0.357973079504805</v>
      </c>
      <c r="AJ196" s="4">
        <f t="shared" si="27"/>
        <v>0.355401965334779</v>
      </c>
    </row>
    <row r="197" spans="1:36">
      <c r="A197" t="str">
        <f>"post-semis_procurement_archetype_"&amp;TEXT(ROUND(Table2691617[[#This Row],[2016]],3),"0.0")</f>
        <v>post-semis_procurement_archetype_0.8</v>
      </c>
      <c r="B197" s="4">
        <f t="shared" si="24"/>
        <v>0.8</v>
      </c>
      <c r="C197" s="4">
        <f t="shared" si="33"/>
        <v>0.8</v>
      </c>
      <c r="D197" s="4">
        <f t="shared" si="33"/>
        <v>0.8</v>
      </c>
      <c r="E197" s="4">
        <f t="shared" si="33"/>
        <v>0.788078987404602</v>
      </c>
      <c r="F197" s="4">
        <f t="shared" si="33"/>
        <v>0.759259244206937</v>
      </c>
      <c r="G197" s="4">
        <f t="shared" si="33"/>
        <v>0.763288314751368</v>
      </c>
      <c r="H197" s="4">
        <f t="shared" si="33"/>
        <v>0.750778815457034</v>
      </c>
      <c r="I197" s="4">
        <f t="shared" si="33"/>
        <v>0.726580053130503</v>
      </c>
      <c r="J197" s="4">
        <f t="shared" si="33"/>
        <v>0.712986402853645</v>
      </c>
      <c r="K197" s="4">
        <f t="shared" si="33"/>
        <v>0.69903223346012</v>
      </c>
      <c r="L197" s="4">
        <f t="shared" si="33"/>
        <v>0.676989989792283</v>
      </c>
      <c r="M197" s="4">
        <f t="shared" si="33"/>
        <v>0.674314746618265</v>
      </c>
      <c r="N197" s="4">
        <f t="shared" si="33"/>
        <v>0.656253839095845</v>
      </c>
      <c r="O197" s="4">
        <f t="shared" si="33"/>
        <v>0.637526179858187</v>
      </c>
      <c r="P197" s="4">
        <f t="shared" si="33"/>
        <v>0.615386210640277</v>
      </c>
      <c r="Q197" s="4">
        <f t="shared" si="33"/>
        <v>0.579638222644541</v>
      </c>
      <c r="R197" s="4">
        <f t="shared" si="33"/>
        <v>0.531413051756416</v>
      </c>
      <c r="S197" s="4">
        <f t="shared" si="32"/>
        <v>0.516033949746073</v>
      </c>
      <c r="T197" s="4">
        <f t="shared" si="32"/>
        <v>0.482604111104718</v>
      </c>
      <c r="U197" s="4">
        <f t="shared" si="32"/>
        <v>0.448914559295396</v>
      </c>
      <c r="V197" s="4">
        <f t="shared" si="32"/>
        <v>0.442117609044978</v>
      </c>
      <c r="W197" s="4">
        <f t="shared" si="32"/>
        <v>0.42160894479091</v>
      </c>
      <c r="X197" s="4">
        <f t="shared" si="32"/>
        <v>0.411201956171109</v>
      </c>
      <c r="Y197" s="4">
        <f t="shared" si="32"/>
        <v>0.400376942825714</v>
      </c>
      <c r="Z197" s="4">
        <f t="shared" si="32"/>
        <v>0.398685417206188</v>
      </c>
      <c r="AA197" s="4">
        <f t="shared" si="32"/>
        <v>0.393509668598923</v>
      </c>
      <c r="AB197" s="4">
        <f t="shared" si="32"/>
        <v>0.385951976164015</v>
      </c>
      <c r="AC197" s="4">
        <f t="shared" si="32"/>
        <v>0.37976199282797</v>
      </c>
      <c r="AD197" s="4">
        <f t="shared" si="32"/>
        <v>0.378738219515458</v>
      </c>
      <c r="AE197" s="4">
        <f t="shared" si="32"/>
        <v>0.374563150703374</v>
      </c>
      <c r="AF197" s="4">
        <f t="shared" si="32"/>
        <v>0.371786933195248</v>
      </c>
      <c r="AG197" s="4">
        <f t="shared" si="32"/>
        <v>0.369704968884856</v>
      </c>
      <c r="AH197" s="4">
        <f t="shared" si="27"/>
        <v>0.361903364249717</v>
      </c>
      <c r="AI197" s="4">
        <f t="shared" si="27"/>
        <v>0.357500967229996</v>
      </c>
      <c r="AJ197" s="4">
        <f t="shared" si="27"/>
        <v>0.355401965334779</v>
      </c>
    </row>
    <row r="198" spans="1:36">
      <c r="A198" t="str">
        <f>"post-semis_procurement_archetype_"&amp;TEXT(ROUND(Table2691617[[#This Row],[2016]],3),"0.0")</f>
        <v>post-semis_procurement_archetype_0.7</v>
      </c>
      <c r="B198" s="4">
        <f t="shared" si="24"/>
        <v>0.7</v>
      </c>
      <c r="C198" s="4">
        <f t="shared" si="33"/>
        <v>0.7</v>
      </c>
      <c r="D198" s="4">
        <f t="shared" si="33"/>
        <v>0.7</v>
      </c>
      <c r="E198" s="4">
        <f t="shared" si="33"/>
        <v>0.690760288639857</v>
      </c>
      <c r="F198" s="4">
        <f t="shared" si="33"/>
        <v>0.668422747555246</v>
      </c>
      <c r="G198" s="4">
        <f t="shared" si="33"/>
        <v>0.671545590399534</v>
      </c>
      <c r="H198" s="4">
        <f t="shared" si="33"/>
        <v>0.66184975610571</v>
      </c>
      <c r="I198" s="4">
        <f t="shared" si="33"/>
        <v>0.643093834376698</v>
      </c>
      <c r="J198" s="4">
        <f t="shared" si="33"/>
        <v>0.632557698802327</v>
      </c>
      <c r="K198" s="4">
        <f t="shared" si="33"/>
        <v>0.621742132890042</v>
      </c>
      <c r="L198" s="4">
        <f t="shared" si="33"/>
        <v>0.604657680743806</v>
      </c>
      <c r="M198" s="4">
        <f t="shared" si="33"/>
        <v>0.602584159342137</v>
      </c>
      <c r="N198" s="4">
        <f t="shared" si="33"/>
        <v>0.588585552170644</v>
      </c>
      <c r="O198" s="4">
        <f t="shared" si="33"/>
        <v>0.574070160594439</v>
      </c>
      <c r="P198" s="4">
        <f t="shared" si="33"/>
        <v>0.556909963550867</v>
      </c>
      <c r="Q198" s="4">
        <f t="shared" si="33"/>
        <v>0.529202494227835</v>
      </c>
      <c r="R198" s="4">
        <f t="shared" si="33"/>
        <v>0.491824238334383</v>
      </c>
      <c r="S198" s="4">
        <f t="shared" si="32"/>
        <v>0.479904238886633</v>
      </c>
      <c r="T198" s="4">
        <f t="shared" si="32"/>
        <v>0.453993515498797</v>
      </c>
      <c r="U198" s="4">
        <f t="shared" si="32"/>
        <v>0.427881494218752</v>
      </c>
      <c r="V198" s="4">
        <f t="shared" si="32"/>
        <v>0.42261332946005</v>
      </c>
      <c r="W198" s="4">
        <f t="shared" si="32"/>
        <v>0.406717520561835</v>
      </c>
      <c r="X198" s="4">
        <f t="shared" si="32"/>
        <v>0.398651295465119</v>
      </c>
      <c r="Y198" s="4">
        <f t="shared" si="32"/>
        <v>0.390261068713765</v>
      </c>
      <c r="Z198" s="4">
        <f t="shared" si="32"/>
        <v>0.388950004879411</v>
      </c>
      <c r="AA198" s="4">
        <f t="shared" si="32"/>
        <v>0.384938397407218</v>
      </c>
      <c r="AB198" s="4">
        <f t="shared" si="32"/>
        <v>0.379080598324425</v>
      </c>
      <c r="AC198" s="4">
        <f t="shared" si="32"/>
        <v>0.374282880102801</v>
      </c>
      <c r="AD198" s="4">
        <f t="shared" si="32"/>
        <v>0.37348937620956</v>
      </c>
      <c r="AE198" s="4">
        <f t="shared" si="32"/>
        <v>0.370253373359661</v>
      </c>
      <c r="AF198" s="4">
        <f t="shared" si="32"/>
        <v>0.368101589000506</v>
      </c>
      <c r="AG198" s="4">
        <f t="shared" si="32"/>
        <v>0.366487904832639</v>
      </c>
      <c r="AH198" s="4">
        <f t="shared" si="27"/>
        <v>0.360441054835814</v>
      </c>
      <c r="AI198" s="4">
        <f t="shared" si="27"/>
        <v>0.357028854955186</v>
      </c>
      <c r="AJ198" s="4">
        <f t="shared" si="27"/>
        <v>0.355401965334779</v>
      </c>
    </row>
    <row r="199" spans="1:36">
      <c r="A199" t="str">
        <f>"post-semis_procurement_archetype_"&amp;TEXT(ROUND(Table2691617[[#This Row],[2016]],3),"0.0")</f>
        <v>post-semis_procurement_archetype_0.6</v>
      </c>
      <c r="B199" s="4">
        <f t="shared" si="24"/>
        <v>0.6</v>
      </c>
      <c r="C199" s="4">
        <f t="shared" si="33"/>
        <v>0.6</v>
      </c>
      <c r="D199" s="4">
        <f t="shared" si="33"/>
        <v>0.6</v>
      </c>
      <c r="E199" s="4">
        <f t="shared" si="33"/>
        <v>0.593441589875112</v>
      </c>
      <c r="F199" s="4">
        <f t="shared" si="33"/>
        <v>0.577586250903555</v>
      </c>
      <c r="G199" s="4">
        <f t="shared" si="33"/>
        <v>0.579802866047699</v>
      </c>
      <c r="H199" s="4">
        <f t="shared" si="33"/>
        <v>0.572920696754386</v>
      </c>
      <c r="I199" s="4">
        <f t="shared" si="33"/>
        <v>0.559607615622893</v>
      </c>
      <c r="J199" s="4">
        <f t="shared" si="33"/>
        <v>0.55212899475101</v>
      </c>
      <c r="K199" s="4">
        <f t="shared" si="33"/>
        <v>0.544452032319963</v>
      </c>
      <c r="L199" s="4">
        <f t="shared" si="33"/>
        <v>0.532325371695328</v>
      </c>
      <c r="M199" s="4">
        <f t="shared" si="33"/>
        <v>0.530853572066009</v>
      </c>
      <c r="N199" s="4">
        <f t="shared" si="33"/>
        <v>0.520917265245443</v>
      </c>
      <c r="O199" s="4">
        <f t="shared" si="33"/>
        <v>0.510614141330691</v>
      </c>
      <c r="P199" s="4">
        <f t="shared" si="33"/>
        <v>0.498433716461456</v>
      </c>
      <c r="Q199" s="4">
        <f t="shared" si="33"/>
        <v>0.47876676581113</v>
      </c>
      <c r="R199" s="4">
        <f t="shared" si="33"/>
        <v>0.452235424912351</v>
      </c>
      <c r="S199" s="4">
        <f t="shared" si="32"/>
        <v>0.443774528027194</v>
      </c>
      <c r="T199" s="4">
        <f t="shared" si="32"/>
        <v>0.425382919892876</v>
      </c>
      <c r="U199" s="4">
        <f t="shared" si="32"/>
        <v>0.406848429142108</v>
      </c>
      <c r="V199" s="4">
        <f t="shared" si="32"/>
        <v>0.403109049875122</v>
      </c>
      <c r="W199" s="4">
        <f t="shared" si="32"/>
        <v>0.391826096332759</v>
      </c>
      <c r="X199" s="4">
        <f t="shared" si="32"/>
        <v>0.386100634759129</v>
      </c>
      <c r="Y199" s="4">
        <f t="shared" si="32"/>
        <v>0.380145194601815</v>
      </c>
      <c r="Z199" s="4">
        <f t="shared" si="32"/>
        <v>0.379214592552633</v>
      </c>
      <c r="AA199" s="4">
        <f t="shared" si="32"/>
        <v>0.376367126215514</v>
      </c>
      <c r="AB199" s="4">
        <f t="shared" si="32"/>
        <v>0.372209220484836</v>
      </c>
      <c r="AC199" s="4">
        <f t="shared" si="32"/>
        <v>0.368803767377633</v>
      </c>
      <c r="AD199" s="4">
        <f t="shared" si="32"/>
        <v>0.368240532903662</v>
      </c>
      <c r="AE199" s="4">
        <f t="shared" si="32"/>
        <v>0.365943596015948</v>
      </c>
      <c r="AF199" s="4">
        <f t="shared" si="32"/>
        <v>0.364416244805765</v>
      </c>
      <c r="AG199" s="4">
        <f t="shared" si="32"/>
        <v>0.363270840780422</v>
      </c>
      <c r="AH199" s="4">
        <f t="shared" si="27"/>
        <v>0.35897874542191</v>
      </c>
      <c r="AI199" s="4">
        <f t="shared" si="27"/>
        <v>0.356556742680376</v>
      </c>
      <c r="AJ199" s="4">
        <f t="shared" si="27"/>
        <v>0.355401965334779</v>
      </c>
    </row>
    <row r="200" spans="1:36">
      <c r="A200" t="str">
        <f>"post-semis_procurement_archetype_"&amp;TEXT(ROUND(Table2691617[[#This Row],[2016]],3),"0.0")</f>
        <v>post-semis_procurement_archetype_0.5</v>
      </c>
      <c r="B200" s="4">
        <f t="shared" ref="B200" si="34">MROUND(B199-0.1,0.1)</f>
        <v>0.5</v>
      </c>
      <c r="C200" s="4">
        <f t="shared" si="33"/>
        <v>0.5</v>
      </c>
      <c r="D200" s="4">
        <f t="shared" si="33"/>
        <v>0.5</v>
      </c>
      <c r="E200" s="4">
        <f t="shared" si="33"/>
        <v>0.496122891110367</v>
      </c>
      <c r="F200" s="4">
        <f t="shared" si="33"/>
        <v>0.486749754251864</v>
      </c>
      <c r="G200" s="4">
        <f t="shared" si="33"/>
        <v>0.488060141695863</v>
      </c>
      <c r="H200" s="4">
        <f t="shared" si="33"/>
        <v>0.483991637403062</v>
      </c>
      <c r="I200" s="4">
        <f t="shared" si="33"/>
        <v>0.476121396869088</v>
      </c>
      <c r="J200" s="4">
        <f t="shared" si="33"/>
        <v>0.471700290699692</v>
      </c>
      <c r="K200" s="4">
        <f t="shared" si="33"/>
        <v>0.467161931749885</v>
      </c>
      <c r="L200" s="4">
        <f t="shared" si="33"/>
        <v>0.459993062646851</v>
      </c>
      <c r="M200" s="4">
        <f t="shared" si="33"/>
        <v>0.459122984789881</v>
      </c>
      <c r="N200" s="4">
        <f t="shared" si="33"/>
        <v>0.453248978320242</v>
      </c>
      <c r="O200" s="4">
        <f t="shared" si="33"/>
        <v>0.447158122066943</v>
      </c>
      <c r="P200" s="4">
        <f t="shared" si="33"/>
        <v>0.439957469372045</v>
      </c>
      <c r="Q200" s="4">
        <f t="shared" si="33"/>
        <v>0.428331037394424</v>
      </c>
      <c r="R200" s="4">
        <f t="shared" si="33"/>
        <v>0.412646611490319</v>
      </c>
      <c r="S200" s="4">
        <f t="shared" si="32"/>
        <v>0.407644817167755</v>
      </c>
      <c r="T200" s="4">
        <f t="shared" si="32"/>
        <v>0.396772324286955</v>
      </c>
      <c r="U200" s="4">
        <f t="shared" si="32"/>
        <v>0.385815364065463</v>
      </c>
      <c r="V200" s="4">
        <f t="shared" si="32"/>
        <v>0.383604770290194</v>
      </c>
      <c r="W200" s="4">
        <f t="shared" si="32"/>
        <v>0.376934672103683</v>
      </c>
      <c r="X200" s="4">
        <f t="shared" si="32"/>
        <v>0.37354997405314</v>
      </c>
      <c r="Y200" s="4">
        <f t="shared" si="32"/>
        <v>0.370029320489866</v>
      </c>
      <c r="Z200" s="4">
        <f t="shared" si="32"/>
        <v>0.369479180225855</v>
      </c>
      <c r="AA200" s="4">
        <f t="shared" si="32"/>
        <v>0.36779585502381</v>
      </c>
      <c r="AB200" s="4">
        <f t="shared" si="32"/>
        <v>0.365337842645246</v>
      </c>
      <c r="AC200" s="4">
        <f t="shared" si="32"/>
        <v>0.363324654652464</v>
      </c>
      <c r="AD200" s="4">
        <f t="shared" si="32"/>
        <v>0.362991689597764</v>
      </c>
      <c r="AE200" s="4">
        <f t="shared" si="32"/>
        <v>0.361633818672235</v>
      </c>
      <c r="AF200" s="4">
        <f t="shared" si="32"/>
        <v>0.360730900611024</v>
      </c>
      <c r="AG200" s="4">
        <f t="shared" si="32"/>
        <v>0.360053776728205</v>
      </c>
      <c r="AH200" s="4">
        <f t="shared" si="27"/>
        <v>0.357516436008007</v>
      </c>
      <c r="AI200" s="4">
        <f t="shared" si="27"/>
        <v>0.356084630405567</v>
      </c>
      <c r="AJ200" s="4">
        <f t="shared" si="27"/>
        <v>0.355401965334779</v>
      </c>
    </row>
    <row r="201" spans="1:36">
      <c r="A201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</row>
  </sheetData>
  <pageMargins left="0.7" right="0.7" top="0.75" bottom="0.75" header="0.3" footer="0.3"/>
  <pageSetup paperSize="9" orientation="portrait"/>
  <headerFooter/>
  <drawing r:id="rId1"/>
  <tableParts count="2">
    <tablePart r:id="rId2"/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>
    <tabColor theme="9"/>
  </sheetPr>
  <dimension ref="A1:AJ110"/>
  <sheetViews>
    <sheetView topLeftCell="A75" workbookViewId="0">
      <selection activeCell="AH110" sqref="AH110:AJ110"/>
    </sheetView>
  </sheetViews>
  <sheetFormatPr defaultColWidth="8.83333333333333" defaultRowHeight="13.5"/>
  <cols>
    <col min="1" max="1" width="42.5" customWidth="1"/>
    <col min="2" max="2" width="12.3333333333333" customWidth="1"/>
  </cols>
  <sheetData>
    <row r="1" spans="1:36">
      <c r="A1" t="s">
        <v>106</v>
      </c>
      <c r="B1" t="s">
        <v>171</v>
      </c>
      <c r="C1" t="s">
        <v>172</v>
      </c>
      <c r="D1" t="s">
        <v>173</v>
      </c>
      <c r="E1" t="s">
        <v>174</v>
      </c>
      <c r="F1" t="s">
        <v>175</v>
      </c>
      <c r="G1" t="s">
        <v>176</v>
      </c>
      <c r="H1" t="s">
        <v>177</v>
      </c>
      <c r="I1" t="s">
        <v>54</v>
      </c>
      <c r="J1" t="s">
        <v>178</v>
      </c>
      <c r="K1" t="s">
        <v>179</v>
      </c>
      <c r="L1" t="s">
        <v>180</v>
      </c>
      <c r="M1" t="s">
        <v>181</v>
      </c>
      <c r="N1" t="s">
        <v>182</v>
      </c>
      <c r="O1" t="s">
        <v>183</v>
      </c>
      <c r="P1" t="s">
        <v>184</v>
      </c>
      <c r="Q1" t="s">
        <v>185</v>
      </c>
      <c r="R1" t="s">
        <v>186</v>
      </c>
      <c r="S1" t="s">
        <v>187</v>
      </c>
      <c r="T1" t="s">
        <v>188</v>
      </c>
      <c r="U1" t="s">
        <v>189</v>
      </c>
      <c r="V1" t="s">
        <v>190</v>
      </c>
      <c r="W1" t="s">
        <v>191</v>
      </c>
      <c r="X1" t="s">
        <v>192</v>
      </c>
      <c r="Y1" t="s">
        <v>193</v>
      </c>
      <c r="Z1" t="s">
        <v>194</v>
      </c>
      <c r="AA1" t="s">
        <v>195</v>
      </c>
      <c r="AB1" t="s">
        <v>196</v>
      </c>
      <c r="AC1" t="s">
        <v>197</v>
      </c>
      <c r="AD1" t="s">
        <v>198</v>
      </c>
      <c r="AE1" t="s">
        <v>199</v>
      </c>
      <c r="AF1" t="s">
        <v>200</v>
      </c>
      <c r="AG1" t="s">
        <v>201</v>
      </c>
      <c r="AH1" t="s">
        <v>202</v>
      </c>
      <c r="AI1" t="s">
        <v>203</v>
      </c>
      <c r="AJ1" t="s">
        <v>204</v>
      </c>
    </row>
    <row r="2" spans="1:36">
      <c r="A2" t="s">
        <v>216</v>
      </c>
      <c r="B2" s="3">
        <f>'Sectoral Slopes'!C23</f>
        <v>0.418040921900816</v>
      </c>
      <c r="C2" s="3">
        <f>'Sectoral Slopes'!D23</f>
        <v>0.418040921900816</v>
      </c>
      <c r="D2" s="3">
        <f>'Sectoral Slopes'!E23</f>
        <v>0.418040921900816</v>
      </c>
      <c r="E2" s="3">
        <f>'Sectoral Slopes'!F23</f>
        <v>0.408870751798659</v>
      </c>
      <c r="F2" s="3">
        <f>'Sectoral Slopes'!G23</f>
        <v>0.400136393532343</v>
      </c>
      <c r="G2" s="3">
        <f>'Sectoral Slopes'!H23</f>
        <v>0.39180750031582</v>
      </c>
      <c r="H2" s="3">
        <f>'Sectoral Slopes'!I23</f>
        <v>0.383856478957338</v>
      </c>
      <c r="I2" s="3">
        <f>'Sectoral Slopes'!J23</f>
        <v>0.376258184468897</v>
      </c>
      <c r="J2" s="3">
        <f>'Sectoral Slopes'!K23</f>
        <v>0.36898965443737</v>
      </c>
      <c r="K2" s="3">
        <f>'Sectoral Slopes'!L23</f>
        <v>0.362029877245798</v>
      </c>
      <c r="L2" s="3">
        <f>'Sectoral Slopes'!M23</f>
        <v>0.355359589216912</v>
      </c>
      <c r="M2" s="3">
        <f>'Sectoral Slopes'!N23</f>
        <v>0.348961096554143</v>
      </c>
      <c r="N2" s="3">
        <f>'Sectoral Slopes'!O23</f>
        <v>0.342818118614228</v>
      </c>
      <c r="O2" s="3">
        <f>'Sectoral Slopes'!P23</f>
        <v>0.336915649588314</v>
      </c>
      <c r="P2" s="3">
        <f>'Sectoral Slopes'!Q23</f>
        <v>0.331239836117451</v>
      </c>
      <c r="Q2" s="3">
        <f>'Sectoral Slopes'!R23</f>
        <v>0.316882159645001</v>
      </c>
      <c r="R2" s="3">
        <f>'Sectoral Slopes'!S23</f>
        <v>0.30295964432058</v>
      </c>
      <c r="S2" s="3">
        <f>'Sectoral Slopes'!T23</f>
        <v>0.28945280178551</v>
      </c>
      <c r="T2" s="3">
        <f>'Sectoral Slopes'!U23</f>
        <v>0.27634329025985</v>
      </c>
      <c r="U2" s="3">
        <f>'Sectoral Slopes'!V23</f>
        <v>0.263613831442362</v>
      </c>
      <c r="V2" s="3">
        <f>'Sectoral Slopes'!W23</f>
        <v>0.246639436536824</v>
      </c>
      <c r="W2" s="3">
        <f>'Sectoral Slopes'!X23</f>
        <v>0.230210843807152</v>
      </c>
      <c r="X2" s="3">
        <f>'Sectoral Slopes'!Y23</f>
        <v>0.214302144842954</v>
      </c>
      <c r="Y2" s="3">
        <f>'Sectoral Slopes'!Z23</f>
        <v>0.198889045469874</v>
      </c>
      <c r="Z2" s="3">
        <f>'Sectoral Slopes'!AA23</f>
        <v>0.183948741958121</v>
      </c>
      <c r="AA2" s="3">
        <f>'Sectoral Slopes'!AB23</f>
        <v>0.167743386553953</v>
      </c>
      <c r="AB2" s="3">
        <f>'Sectoral Slopes'!AC23</f>
        <v>0.15186009595476</v>
      </c>
      <c r="AC2" s="3">
        <f>'Sectoral Slopes'!AD23</f>
        <v>0.136289363566311</v>
      </c>
      <c r="AD2" s="3">
        <f>'Sectoral Slopes'!AE23</f>
        <v>0.121022053298589</v>
      </c>
      <c r="AE2" s="3">
        <f>'Sectoral Slopes'!AF23</f>
        <v>0.106049381690202</v>
      </c>
      <c r="AF2" s="3">
        <f>'Sectoral Slopes'!AG23</f>
        <v>0.0997963930850234</v>
      </c>
      <c r="AG2" s="3">
        <f>'Sectoral Slopes'!AH23</f>
        <v>0.0936401801174529</v>
      </c>
      <c r="AH2" s="3">
        <f>'Sectoral Slopes'!AI23</f>
        <v>0.0875785133878947</v>
      </c>
      <c r="AI2" s="3">
        <f>'Sectoral Slopes'!AJ23</f>
        <v>0.0816092314525258</v>
      </c>
      <c r="AJ2" s="3">
        <f>'Sectoral Slopes'!AK23</f>
        <v>0.0757302382536226</v>
      </c>
    </row>
    <row r="4" spans="1:36">
      <c r="A4" t="s">
        <v>217</v>
      </c>
      <c r="B4" t="s">
        <v>171</v>
      </c>
      <c r="C4" t="s">
        <v>172</v>
      </c>
      <c r="D4" t="s">
        <v>173</v>
      </c>
      <c r="E4" t="s">
        <v>174</v>
      </c>
      <c r="F4" t="s">
        <v>175</v>
      </c>
      <c r="G4" t="s">
        <v>176</v>
      </c>
      <c r="H4" t="s">
        <v>177</v>
      </c>
      <c r="I4" t="s">
        <v>54</v>
      </c>
      <c r="J4" t="s">
        <v>178</v>
      </c>
      <c r="K4" t="s">
        <v>179</v>
      </c>
      <c r="L4" t="s">
        <v>180</v>
      </c>
      <c r="M4" t="s">
        <v>181</v>
      </c>
      <c r="N4" t="s">
        <v>182</v>
      </c>
      <c r="O4" t="s">
        <v>183</v>
      </c>
      <c r="P4" t="s">
        <v>184</v>
      </c>
      <c r="Q4" t="s">
        <v>185</v>
      </c>
      <c r="R4" t="s">
        <v>186</v>
      </c>
      <c r="S4" t="s">
        <v>187</v>
      </c>
      <c r="T4" t="s">
        <v>188</v>
      </c>
      <c r="U4" t="s">
        <v>189</v>
      </c>
      <c r="V4" t="s">
        <v>190</v>
      </c>
      <c r="W4" t="s">
        <v>191</v>
      </c>
      <c r="X4" t="s">
        <v>192</v>
      </c>
      <c r="Y4" t="s">
        <v>193</v>
      </c>
      <c r="Z4" t="s">
        <v>194</v>
      </c>
      <c r="AA4" t="s">
        <v>195</v>
      </c>
      <c r="AB4" t="s">
        <v>196</v>
      </c>
      <c r="AC4" t="s">
        <v>197</v>
      </c>
      <c r="AD4" t="s">
        <v>198</v>
      </c>
      <c r="AE4" t="s">
        <v>199</v>
      </c>
      <c r="AF4" t="s">
        <v>200</v>
      </c>
      <c r="AG4" t="s">
        <v>201</v>
      </c>
      <c r="AH4" t="s">
        <v>202</v>
      </c>
      <c r="AI4" t="s">
        <v>203</v>
      </c>
      <c r="AJ4" t="s">
        <v>204</v>
      </c>
    </row>
    <row r="5" spans="1:36">
      <c r="A5" t="str">
        <f>"recycling_archetype_"&amp;TEXT(ROUND(Table26[[#This Row],[2016]],3),"0.000")</f>
        <v>recycling_archetype_0.600</v>
      </c>
      <c r="B5" s="3">
        <v>0.6</v>
      </c>
      <c r="C5" s="3">
        <f>(($B5-$AJ$2)*((C$2-$AJ$2)/($B$2-$AJ$2)))+$AJ$2</f>
        <v>0.6</v>
      </c>
      <c r="D5" s="3">
        <f t="shared" ref="D5:AJ12" si="0">(($B5-$AJ$2)*((D$2-$AJ$2)/($B$2-$AJ$2)))+$AJ$2</f>
        <v>0.6</v>
      </c>
      <c r="E5" s="3">
        <f t="shared" si="0"/>
        <v>0.58595532326538</v>
      </c>
      <c r="F5" s="3">
        <f t="shared" si="0"/>
        <v>0.572578119029451</v>
      </c>
      <c r="G5" s="3">
        <f t="shared" si="0"/>
        <v>0.559821909332128</v>
      </c>
      <c r="H5" s="3">
        <f t="shared" si="0"/>
        <v>0.547644433511514</v>
      </c>
      <c r="I5" s="3">
        <f t="shared" si="0"/>
        <v>0.536007180479589</v>
      </c>
      <c r="J5" s="3">
        <f t="shared" si="0"/>
        <v>0.524874981895327</v>
      </c>
      <c r="K5" s="3">
        <f t="shared" si="0"/>
        <v>0.514215657181423</v>
      </c>
      <c r="L5" s="3">
        <f t="shared" si="0"/>
        <v>0.503999702837188</v>
      </c>
      <c r="M5" s="3">
        <f t="shared" si="0"/>
        <v>0.494200019730297</v>
      </c>
      <c r="N5" s="3">
        <f t="shared" si="0"/>
        <v>0.484791673059202</v>
      </c>
      <c r="O5" s="3">
        <f t="shared" si="0"/>
        <v>0.475751680509273</v>
      </c>
      <c r="P5" s="3">
        <f t="shared" si="0"/>
        <v>0.467058824813443</v>
      </c>
      <c r="Q5" s="3">
        <f t="shared" si="0"/>
        <v>0.445069164592377</v>
      </c>
      <c r="R5" s="3">
        <f t="shared" si="0"/>
        <v>0.423745980301793</v>
      </c>
      <c r="S5" s="3">
        <f t="shared" si="0"/>
        <v>0.403059424327673</v>
      </c>
      <c r="T5" s="3">
        <f t="shared" si="0"/>
        <v>0.382981405111502</v>
      </c>
      <c r="U5" s="3">
        <f t="shared" si="0"/>
        <v>0.363485459877484</v>
      </c>
      <c r="V5" s="3">
        <f t="shared" si="0"/>
        <v>0.337488135230476</v>
      </c>
      <c r="W5" s="3">
        <f t="shared" si="0"/>
        <v>0.312326740019422</v>
      </c>
      <c r="X5" s="3">
        <f t="shared" si="0"/>
        <v>0.287961593928184</v>
      </c>
      <c r="Y5" s="3">
        <f t="shared" si="0"/>
        <v>0.264355488941913</v>
      </c>
      <c r="Z5" s="3">
        <f t="shared" si="0"/>
        <v>0.241473499752824</v>
      </c>
      <c r="AA5" s="3">
        <f t="shared" si="0"/>
        <v>0.216654006168115</v>
      </c>
      <c r="AB5" s="3">
        <f t="shared" si="0"/>
        <v>0.1923277745429</v>
      </c>
      <c r="AC5" s="3">
        <f t="shared" si="0"/>
        <v>0.1684802449463</v>
      </c>
      <c r="AD5" s="3">
        <f t="shared" si="0"/>
        <v>0.145097424897317</v>
      </c>
      <c r="AE5" s="3">
        <f t="shared" si="0"/>
        <v>0.122165861987273</v>
      </c>
      <c r="AF5" s="3">
        <f t="shared" si="0"/>
        <v>0.112589027249569</v>
      </c>
      <c r="AG5" s="3">
        <f t="shared" si="0"/>
        <v>0.103160410323622</v>
      </c>
      <c r="AH5" s="3">
        <f t="shared" si="0"/>
        <v>0.093876596747512</v>
      </c>
      <c r="AI5" s="3">
        <f t="shared" si="0"/>
        <v>0.0847342761377402</v>
      </c>
      <c r="AJ5" s="3">
        <f t="shared" si="0"/>
        <v>0.0757302382536226</v>
      </c>
    </row>
    <row r="6" spans="1:36">
      <c r="A6" t="str">
        <f>"recycling_archetype_"&amp;TEXT(ROUND(Table26[[#This Row],[2016]],3),"0.000")</f>
        <v>recycling_archetype_0.595</v>
      </c>
      <c r="B6" s="3">
        <f>MROUND(B5-0.005,0.005)</f>
        <v>0.595</v>
      </c>
      <c r="C6" s="3">
        <f t="shared" ref="C6:R28" si="1">(($B6-$AJ$2)*((C$2-$AJ$2)/($B$2-$AJ$2)))+$AJ$2</f>
        <v>0.595</v>
      </c>
      <c r="D6" s="3">
        <f t="shared" si="0"/>
        <v>0.595</v>
      </c>
      <c r="E6" s="3">
        <f t="shared" si="0"/>
        <v>0.581089268399731</v>
      </c>
      <c r="F6" s="3">
        <f t="shared" si="0"/>
        <v>0.56783964356292</v>
      </c>
      <c r="G6" s="3">
        <f t="shared" si="0"/>
        <v>0.555205090793272</v>
      </c>
      <c r="H6" s="3">
        <f t="shared" si="0"/>
        <v>0.543143752471986</v>
      </c>
      <c r="I6" s="3">
        <f t="shared" si="0"/>
        <v>0.531617484794177</v>
      </c>
      <c r="J6" s="3">
        <f t="shared" si="0"/>
        <v>0.520591454821921</v>
      </c>
      <c r="K6" s="3">
        <f t="shared" si="0"/>
        <v>0.510033788886491</v>
      </c>
      <c r="L6" s="3">
        <f t="shared" si="0"/>
        <v>0.499915264864292</v>
      </c>
      <c r="M6" s="3">
        <f t="shared" si="0"/>
        <v>0.490209042069458</v>
      </c>
      <c r="N6" s="3">
        <f t="shared" si="0"/>
        <v>0.480890423505509</v>
      </c>
      <c r="O6" s="3">
        <f t="shared" si="0"/>
        <v>0.471936646041873</v>
      </c>
      <c r="P6" s="3">
        <f t="shared" si="0"/>
        <v>0.463326694762148</v>
      </c>
      <c r="Q6" s="3">
        <f t="shared" si="0"/>
        <v>0.44154675157824</v>
      </c>
      <c r="R6" s="3">
        <f t="shared" si="0"/>
        <v>0.420426928093929</v>
      </c>
      <c r="S6" s="3">
        <f t="shared" si="0"/>
        <v>0.399937661354126</v>
      </c>
      <c r="T6" s="3">
        <f t="shared" si="0"/>
        <v>0.380051127711615</v>
      </c>
      <c r="U6" s="3">
        <f t="shared" si="0"/>
        <v>0.360741116768076</v>
      </c>
      <c r="V6" s="3">
        <f t="shared" si="0"/>
        <v>0.334991730554142</v>
      </c>
      <c r="W6" s="3">
        <f t="shared" si="0"/>
        <v>0.310070301454496</v>
      </c>
      <c r="X6" s="3">
        <f t="shared" si="0"/>
        <v>0.28593752758715</v>
      </c>
      <c r="Y6" s="3">
        <f t="shared" si="0"/>
        <v>0.262556555792879</v>
      </c>
      <c r="Z6" s="3">
        <f t="shared" si="0"/>
        <v>0.239892793849177</v>
      </c>
      <c r="AA6" s="3">
        <f t="shared" si="0"/>
        <v>0.215310005634448</v>
      </c>
      <c r="AB6" s="3">
        <f t="shared" si="0"/>
        <v>0.191215775102946</v>
      </c>
      <c r="AC6" s="3">
        <f t="shared" si="0"/>
        <v>0.167595681182945</v>
      </c>
      <c r="AD6" s="3">
        <f t="shared" si="0"/>
        <v>0.144435864840786</v>
      </c>
      <c r="AE6" s="3">
        <f t="shared" si="0"/>
        <v>0.12172300196442</v>
      </c>
      <c r="AF6" s="3">
        <f t="shared" si="0"/>
        <v>0.112237502217177</v>
      </c>
      <c r="AG6" s="3">
        <f t="shared" si="0"/>
        <v>0.102898806717316</v>
      </c>
      <c r="AH6" s="3">
        <f t="shared" si="0"/>
        <v>0.0937035335668945</v>
      </c>
      <c r="AI6" s="3">
        <f t="shared" si="0"/>
        <v>0.0846484039537893</v>
      </c>
      <c r="AJ6" s="3">
        <f t="shared" si="0"/>
        <v>0.0757302382536226</v>
      </c>
    </row>
    <row r="7" spans="1:36">
      <c r="A7" t="str">
        <f>"recycling_archetype_"&amp;TEXT(ROUND(Table26[[#This Row],[2016]],3),"0.000")</f>
        <v>recycling_archetype_0.590</v>
      </c>
      <c r="B7" s="3">
        <f t="shared" ref="B7:B70" si="2">MROUND(B6-0.005,0.005)</f>
        <v>0.59</v>
      </c>
      <c r="C7" s="3">
        <f t="shared" si="1"/>
        <v>0.59</v>
      </c>
      <c r="D7" s="3">
        <f t="shared" si="0"/>
        <v>0.59</v>
      </c>
      <c r="E7" s="3">
        <f t="shared" si="0"/>
        <v>0.576223213534081</v>
      </c>
      <c r="F7" s="3">
        <f t="shared" si="0"/>
        <v>0.563101168096389</v>
      </c>
      <c r="G7" s="3">
        <f t="shared" si="0"/>
        <v>0.550588272254415</v>
      </c>
      <c r="H7" s="3">
        <f t="shared" si="0"/>
        <v>0.538643071432459</v>
      </c>
      <c r="I7" s="3">
        <f t="shared" si="0"/>
        <v>0.527227789108766</v>
      </c>
      <c r="J7" s="3">
        <f t="shared" si="0"/>
        <v>0.516307927748516</v>
      </c>
      <c r="K7" s="3">
        <f t="shared" si="0"/>
        <v>0.505851920591558</v>
      </c>
      <c r="L7" s="3">
        <f t="shared" si="0"/>
        <v>0.495830826891397</v>
      </c>
      <c r="M7" s="3">
        <f t="shared" si="0"/>
        <v>0.486218064408618</v>
      </c>
      <c r="N7" s="3">
        <f t="shared" si="0"/>
        <v>0.476989173951815</v>
      </c>
      <c r="O7" s="3">
        <f t="shared" si="0"/>
        <v>0.468121611574472</v>
      </c>
      <c r="P7" s="3">
        <f t="shared" si="0"/>
        <v>0.459594564710852</v>
      </c>
      <c r="Q7" s="3">
        <f t="shared" si="0"/>
        <v>0.438024338564103</v>
      </c>
      <c r="R7" s="3">
        <f t="shared" si="0"/>
        <v>0.417107875886064</v>
      </c>
      <c r="S7" s="3">
        <f t="shared" si="0"/>
        <v>0.396815898380578</v>
      </c>
      <c r="T7" s="3">
        <f t="shared" si="0"/>
        <v>0.377120850311729</v>
      </c>
      <c r="U7" s="3">
        <f t="shared" si="0"/>
        <v>0.357996773658669</v>
      </c>
      <c r="V7" s="3">
        <f t="shared" si="0"/>
        <v>0.332495325877808</v>
      </c>
      <c r="W7" s="3">
        <f t="shared" si="0"/>
        <v>0.30781386288957</v>
      </c>
      <c r="X7" s="3">
        <f t="shared" si="0"/>
        <v>0.283913461246116</v>
      </c>
      <c r="Y7" s="3">
        <f t="shared" si="0"/>
        <v>0.260757622643846</v>
      </c>
      <c r="Z7" s="3">
        <f t="shared" si="0"/>
        <v>0.23831208794553</v>
      </c>
      <c r="AA7" s="3">
        <f t="shared" si="0"/>
        <v>0.213966005100782</v>
      </c>
      <c r="AB7" s="3">
        <f t="shared" si="0"/>
        <v>0.190103775662993</v>
      </c>
      <c r="AC7" s="3">
        <f t="shared" si="0"/>
        <v>0.166711117419591</v>
      </c>
      <c r="AD7" s="3">
        <f t="shared" si="0"/>
        <v>0.143774304784255</v>
      </c>
      <c r="AE7" s="3">
        <f t="shared" si="0"/>
        <v>0.121280141941567</v>
      </c>
      <c r="AF7" s="3">
        <f t="shared" si="0"/>
        <v>0.111885977184786</v>
      </c>
      <c r="AG7" s="3">
        <f t="shared" si="0"/>
        <v>0.102637203111011</v>
      </c>
      <c r="AH7" s="3">
        <f t="shared" si="0"/>
        <v>0.0935304703862769</v>
      </c>
      <c r="AI7" s="3">
        <f t="shared" si="0"/>
        <v>0.0845625317698384</v>
      </c>
      <c r="AJ7" s="3">
        <f t="shared" si="0"/>
        <v>0.0757302382536226</v>
      </c>
    </row>
    <row r="8" spans="1:36">
      <c r="A8" t="str">
        <f>"recycling_archetype_"&amp;TEXT(ROUND(Table26[[#This Row],[2016]],3),"0.000")</f>
        <v>recycling_archetype_0.585</v>
      </c>
      <c r="B8" s="3">
        <f t="shared" si="2"/>
        <v>0.585</v>
      </c>
      <c r="C8" s="3">
        <f t="shared" si="1"/>
        <v>0.585</v>
      </c>
      <c r="D8" s="3">
        <f t="shared" si="0"/>
        <v>0.585</v>
      </c>
      <c r="E8" s="3">
        <f t="shared" si="0"/>
        <v>0.571357158668432</v>
      </c>
      <c r="F8" s="3">
        <f t="shared" si="0"/>
        <v>0.558362692629859</v>
      </c>
      <c r="G8" s="3">
        <f t="shared" si="0"/>
        <v>0.545971453715559</v>
      </c>
      <c r="H8" s="3">
        <f t="shared" si="0"/>
        <v>0.534142390392932</v>
      </c>
      <c r="I8" s="3">
        <f t="shared" si="0"/>
        <v>0.522838093423354</v>
      </c>
      <c r="J8" s="3">
        <f t="shared" si="0"/>
        <v>0.51202440067511</v>
      </c>
      <c r="K8" s="3">
        <f t="shared" si="0"/>
        <v>0.501670052296626</v>
      </c>
      <c r="L8" s="3">
        <f t="shared" si="0"/>
        <v>0.491746388918501</v>
      </c>
      <c r="M8" s="3">
        <f t="shared" si="0"/>
        <v>0.482227086747779</v>
      </c>
      <c r="N8" s="3">
        <f t="shared" si="0"/>
        <v>0.473087924398122</v>
      </c>
      <c r="O8" s="3">
        <f t="shared" si="0"/>
        <v>0.464306577107072</v>
      </c>
      <c r="P8" s="3">
        <f t="shared" si="0"/>
        <v>0.455862434659557</v>
      </c>
      <c r="Q8" s="3">
        <f t="shared" si="0"/>
        <v>0.434501925549967</v>
      </c>
      <c r="R8" s="3">
        <f t="shared" si="0"/>
        <v>0.4137888236782</v>
      </c>
      <c r="S8" s="3">
        <f t="shared" si="0"/>
        <v>0.393694135407031</v>
      </c>
      <c r="T8" s="3">
        <f t="shared" si="0"/>
        <v>0.374190572911842</v>
      </c>
      <c r="U8" s="3">
        <f t="shared" si="0"/>
        <v>0.355252430549262</v>
      </c>
      <c r="V8" s="3">
        <f t="shared" si="0"/>
        <v>0.329998921201474</v>
      </c>
      <c r="W8" s="3">
        <f t="shared" si="0"/>
        <v>0.305557424324644</v>
      </c>
      <c r="X8" s="3">
        <f t="shared" si="0"/>
        <v>0.281889394905082</v>
      </c>
      <c r="Y8" s="3">
        <f t="shared" si="0"/>
        <v>0.258958689494812</v>
      </c>
      <c r="Z8" s="3">
        <f t="shared" si="0"/>
        <v>0.236731382041883</v>
      </c>
      <c r="AA8" s="3">
        <f t="shared" si="0"/>
        <v>0.212622004567115</v>
      </c>
      <c r="AB8" s="3">
        <f t="shared" si="0"/>
        <v>0.18899177622304</v>
      </c>
      <c r="AC8" s="3">
        <f t="shared" si="0"/>
        <v>0.165826553656236</v>
      </c>
      <c r="AD8" s="3">
        <f t="shared" si="0"/>
        <v>0.143112744727724</v>
      </c>
      <c r="AE8" s="3">
        <f t="shared" si="0"/>
        <v>0.120837281918713</v>
      </c>
      <c r="AF8" s="3">
        <f t="shared" si="0"/>
        <v>0.111534452152394</v>
      </c>
      <c r="AG8" s="3">
        <f t="shared" si="0"/>
        <v>0.102375599504705</v>
      </c>
      <c r="AH8" s="3">
        <f t="shared" si="0"/>
        <v>0.0933574072056593</v>
      </c>
      <c r="AI8" s="3">
        <f t="shared" si="0"/>
        <v>0.0844766595858875</v>
      </c>
      <c r="AJ8" s="3">
        <f t="shared" si="0"/>
        <v>0.0757302382536226</v>
      </c>
    </row>
    <row r="9" spans="1:36">
      <c r="A9" t="str">
        <f>"recycling_archetype_"&amp;TEXT(ROUND(Table26[[#This Row],[2016]],3),"0.000")</f>
        <v>recycling_archetype_0.580</v>
      </c>
      <c r="B9" s="3">
        <f t="shared" si="2"/>
        <v>0.58</v>
      </c>
      <c r="C9" s="3">
        <f t="shared" si="1"/>
        <v>0.58</v>
      </c>
      <c r="D9" s="3">
        <f t="shared" si="0"/>
        <v>0.58</v>
      </c>
      <c r="E9" s="3">
        <f t="shared" si="0"/>
        <v>0.566491103802783</v>
      </c>
      <c r="F9" s="3">
        <f t="shared" si="0"/>
        <v>0.553624217163328</v>
      </c>
      <c r="G9" s="3">
        <f t="shared" si="0"/>
        <v>0.541354635176702</v>
      </c>
      <c r="H9" s="3">
        <f t="shared" si="0"/>
        <v>0.529641709353404</v>
      </c>
      <c r="I9" s="3">
        <f t="shared" si="0"/>
        <v>0.518448397737942</v>
      </c>
      <c r="J9" s="3">
        <f t="shared" si="0"/>
        <v>0.507740873601704</v>
      </c>
      <c r="K9" s="3">
        <f t="shared" si="0"/>
        <v>0.497488184001693</v>
      </c>
      <c r="L9" s="3">
        <f t="shared" si="0"/>
        <v>0.487661950945605</v>
      </c>
      <c r="M9" s="3">
        <f t="shared" si="0"/>
        <v>0.47823610908694</v>
      </c>
      <c r="N9" s="3">
        <f t="shared" si="0"/>
        <v>0.469186674844429</v>
      </c>
      <c r="O9" s="3">
        <f t="shared" si="0"/>
        <v>0.460491542639671</v>
      </c>
      <c r="P9" s="3">
        <f t="shared" si="0"/>
        <v>0.452130304608262</v>
      </c>
      <c r="Q9" s="3">
        <f t="shared" si="0"/>
        <v>0.43097951253583</v>
      </c>
      <c r="R9" s="3">
        <f t="shared" si="0"/>
        <v>0.410469771470336</v>
      </c>
      <c r="S9" s="3">
        <f t="shared" si="0"/>
        <v>0.390572372433484</v>
      </c>
      <c r="T9" s="3">
        <f t="shared" si="0"/>
        <v>0.371260295511955</v>
      </c>
      <c r="U9" s="3">
        <f t="shared" si="0"/>
        <v>0.352508087439854</v>
      </c>
      <c r="V9" s="3">
        <f t="shared" si="0"/>
        <v>0.327502516525139</v>
      </c>
      <c r="W9" s="3">
        <f t="shared" si="0"/>
        <v>0.303300985759719</v>
      </c>
      <c r="X9" s="3">
        <f t="shared" si="0"/>
        <v>0.279865328564048</v>
      </c>
      <c r="Y9" s="3">
        <f t="shared" si="0"/>
        <v>0.257159756345779</v>
      </c>
      <c r="Z9" s="3">
        <f t="shared" si="0"/>
        <v>0.235150676138236</v>
      </c>
      <c r="AA9" s="3">
        <f t="shared" si="0"/>
        <v>0.211278004033448</v>
      </c>
      <c r="AB9" s="3">
        <f t="shared" si="0"/>
        <v>0.187879776783087</v>
      </c>
      <c r="AC9" s="3">
        <f t="shared" si="0"/>
        <v>0.164941989892881</v>
      </c>
      <c r="AD9" s="3">
        <f t="shared" si="0"/>
        <v>0.142451184671193</v>
      </c>
      <c r="AE9" s="3">
        <f t="shared" si="0"/>
        <v>0.12039442189586</v>
      </c>
      <c r="AF9" s="3">
        <f t="shared" si="0"/>
        <v>0.111182927120003</v>
      </c>
      <c r="AG9" s="3">
        <f t="shared" si="0"/>
        <v>0.102113995898399</v>
      </c>
      <c r="AH9" s="3">
        <f t="shared" si="0"/>
        <v>0.0931843440250417</v>
      </c>
      <c r="AI9" s="3">
        <f t="shared" si="0"/>
        <v>0.0843907874019365</v>
      </c>
      <c r="AJ9" s="3">
        <f t="shared" si="0"/>
        <v>0.0757302382536226</v>
      </c>
    </row>
    <row r="10" spans="1:36">
      <c r="A10" t="str">
        <f>"recycling_archetype_"&amp;TEXT(ROUND(Table26[[#This Row],[2016]],3),"0.000")</f>
        <v>recycling_archetype_0.575</v>
      </c>
      <c r="B10" s="3">
        <f t="shared" si="2"/>
        <v>0.575</v>
      </c>
      <c r="C10" s="3">
        <f t="shared" si="1"/>
        <v>0.575</v>
      </c>
      <c r="D10" s="3">
        <f t="shared" si="0"/>
        <v>0.575</v>
      </c>
      <c r="E10" s="3">
        <f t="shared" si="0"/>
        <v>0.561625048937133</v>
      </c>
      <c r="F10" s="3">
        <f t="shared" si="0"/>
        <v>0.548885741696797</v>
      </c>
      <c r="G10" s="3">
        <f t="shared" si="0"/>
        <v>0.536737816637846</v>
      </c>
      <c r="H10" s="3">
        <f t="shared" si="0"/>
        <v>0.525141028313877</v>
      </c>
      <c r="I10" s="3">
        <f t="shared" si="0"/>
        <v>0.514058702052531</v>
      </c>
      <c r="J10" s="3">
        <f t="shared" si="0"/>
        <v>0.503457346528299</v>
      </c>
      <c r="K10" s="3">
        <f t="shared" si="0"/>
        <v>0.493306315706761</v>
      </c>
      <c r="L10" s="3">
        <f t="shared" si="0"/>
        <v>0.48357751297271</v>
      </c>
      <c r="M10" s="3">
        <f t="shared" si="0"/>
        <v>0.4742451314261</v>
      </c>
      <c r="N10" s="3">
        <f t="shared" si="0"/>
        <v>0.465285425290736</v>
      </c>
      <c r="O10" s="3">
        <f t="shared" si="0"/>
        <v>0.456676508172271</v>
      </c>
      <c r="P10" s="3">
        <f t="shared" si="0"/>
        <v>0.448398174556966</v>
      </c>
      <c r="Q10" s="3">
        <f t="shared" si="0"/>
        <v>0.427457099521693</v>
      </c>
      <c r="R10" s="3">
        <f t="shared" si="0"/>
        <v>0.407150719262471</v>
      </c>
      <c r="S10" s="3">
        <f t="shared" si="0"/>
        <v>0.387450609459937</v>
      </c>
      <c r="T10" s="3">
        <f t="shared" si="0"/>
        <v>0.368330018112069</v>
      </c>
      <c r="U10" s="3">
        <f t="shared" si="0"/>
        <v>0.349763744330447</v>
      </c>
      <c r="V10" s="3">
        <f t="shared" si="0"/>
        <v>0.325006111848805</v>
      </c>
      <c r="W10" s="3">
        <f t="shared" si="0"/>
        <v>0.301044547194793</v>
      </c>
      <c r="X10" s="3">
        <f t="shared" si="0"/>
        <v>0.277841262223014</v>
      </c>
      <c r="Y10" s="3">
        <f t="shared" si="0"/>
        <v>0.255360823196745</v>
      </c>
      <c r="Z10" s="3">
        <f t="shared" si="0"/>
        <v>0.23356997023459</v>
      </c>
      <c r="AA10" s="3">
        <f t="shared" si="0"/>
        <v>0.209934003499782</v>
      </c>
      <c r="AB10" s="3">
        <f t="shared" si="0"/>
        <v>0.186767777343134</v>
      </c>
      <c r="AC10" s="3">
        <f t="shared" si="0"/>
        <v>0.164057426129527</v>
      </c>
      <c r="AD10" s="3">
        <f t="shared" si="0"/>
        <v>0.141789624614661</v>
      </c>
      <c r="AE10" s="3">
        <f t="shared" si="0"/>
        <v>0.119951561873007</v>
      </c>
      <c r="AF10" s="3">
        <f t="shared" si="0"/>
        <v>0.110831402087612</v>
      </c>
      <c r="AG10" s="3">
        <f t="shared" si="0"/>
        <v>0.101852392292093</v>
      </c>
      <c r="AH10" s="3">
        <f t="shared" si="0"/>
        <v>0.0930112808444241</v>
      </c>
      <c r="AI10" s="3">
        <f t="shared" si="0"/>
        <v>0.0843049152179856</v>
      </c>
      <c r="AJ10" s="3">
        <f t="shared" si="0"/>
        <v>0.0757302382536226</v>
      </c>
    </row>
    <row r="11" spans="1:36">
      <c r="A11" t="str">
        <f>"recycling_archetype_"&amp;TEXT(ROUND(Table26[[#This Row],[2016]],3),"0.000")</f>
        <v>recycling_archetype_0.570</v>
      </c>
      <c r="B11" s="3">
        <f t="shared" si="2"/>
        <v>0.57</v>
      </c>
      <c r="C11" s="3">
        <f t="shared" si="1"/>
        <v>0.57</v>
      </c>
      <c r="D11" s="3">
        <f t="shared" si="0"/>
        <v>0.57</v>
      </c>
      <c r="E11" s="3">
        <f t="shared" si="0"/>
        <v>0.556758994071484</v>
      </c>
      <c r="F11" s="3">
        <f t="shared" si="0"/>
        <v>0.544147266230266</v>
      </c>
      <c r="G11" s="3">
        <f t="shared" si="0"/>
        <v>0.532120998098989</v>
      </c>
      <c r="H11" s="3">
        <f t="shared" si="0"/>
        <v>0.520640347274349</v>
      </c>
      <c r="I11" s="3">
        <f t="shared" si="0"/>
        <v>0.509669006367119</v>
      </c>
      <c r="J11" s="3">
        <f t="shared" si="0"/>
        <v>0.499173819454893</v>
      </c>
      <c r="K11" s="3">
        <f t="shared" si="0"/>
        <v>0.489124447411828</v>
      </c>
      <c r="L11" s="3">
        <f t="shared" si="0"/>
        <v>0.479493074999814</v>
      </c>
      <c r="M11" s="3">
        <f t="shared" si="0"/>
        <v>0.470254153765261</v>
      </c>
      <c r="N11" s="3">
        <f t="shared" si="0"/>
        <v>0.461384175737043</v>
      </c>
      <c r="O11" s="3">
        <f t="shared" si="0"/>
        <v>0.45286147370487</v>
      </c>
      <c r="P11" s="3">
        <f t="shared" si="0"/>
        <v>0.444666044505671</v>
      </c>
      <c r="Q11" s="3">
        <f t="shared" si="0"/>
        <v>0.423934686507557</v>
      </c>
      <c r="R11" s="3">
        <f t="shared" si="0"/>
        <v>0.403831667054607</v>
      </c>
      <c r="S11" s="3">
        <f t="shared" si="0"/>
        <v>0.38432884648639</v>
      </c>
      <c r="T11" s="3">
        <f t="shared" si="0"/>
        <v>0.365399740712182</v>
      </c>
      <c r="U11" s="3">
        <f t="shared" si="0"/>
        <v>0.34701940122104</v>
      </c>
      <c r="V11" s="3">
        <f t="shared" si="0"/>
        <v>0.322509707172471</v>
      </c>
      <c r="W11" s="3">
        <f t="shared" si="0"/>
        <v>0.298788108629867</v>
      </c>
      <c r="X11" s="3">
        <f t="shared" si="0"/>
        <v>0.27581719588198</v>
      </c>
      <c r="Y11" s="3">
        <f t="shared" si="0"/>
        <v>0.253561890047712</v>
      </c>
      <c r="Z11" s="3">
        <f t="shared" si="0"/>
        <v>0.231989264330943</v>
      </c>
      <c r="AA11" s="3">
        <f t="shared" si="0"/>
        <v>0.208590002966115</v>
      </c>
      <c r="AB11" s="3">
        <f t="shared" si="0"/>
        <v>0.18565577790318</v>
      </c>
      <c r="AC11" s="3">
        <f t="shared" si="0"/>
        <v>0.163172862366172</v>
      </c>
      <c r="AD11" s="3">
        <f t="shared" si="0"/>
        <v>0.14112806455813</v>
      </c>
      <c r="AE11" s="3">
        <f t="shared" si="0"/>
        <v>0.119508701850154</v>
      </c>
      <c r="AF11" s="3">
        <f t="shared" si="0"/>
        <v>0.11047987705522</v>
      </c>
      <c r="AG11" s="3">
        <f t="shared" si="0"/>
        <v>0.101590788685787</v>
      </c>
      <c r="AH11" s="3">
        <f t="shared" si="0"/>
        <v>0.0928382176638066</v>
      </c>
      <c r="AI11" s="3">
        <f t="shared" si="0"/>
        <v>0.0842190430340347</v>
      </c>
      <c r="AJ11" s="3">
        <f t="shared" si="0"/>
        <v>0.0757302382536226</v>
      </c>
    </row>
    <row r="12" spans="1:36">
      <c r="A12" t="str">
        <f>"recycling_archetype_"&amp;TEXT(ROUND(Table26[[#This Row],[2016]],3),"0.000")</f>
        <v>recycling_archetype_0.565</v>
      </c>
      <c r="B12" s="3">
        <f t="shared" si="2"/>
        <v>0.565</v>
      </c>
      <c r="C12" s="3">
        <f t="shared" si="1"/>
        <v>0.565</v>
      </c>
      <c r="D12" s="3">
        <f t="shared" si="0"/>
        <v>0.565</v>
      </c>
      <c r="E12" s="3">
        <f t="shared" si="0"/>
        <v>0.551892939205835</v>
      </c>
      <c r="F12" s="3">
        <f t="shared" si="0"/>
        <v>0.539408790763735</v>
      </c>
      <c r="G12" s="3">
        <f t="shared" si="0"/>
        <v>0.527504179560133</v>
      </c>
      <c r="H12" s="3">
        <f t="shared" si="0"/>
        <v>0.516139666234822</v>
      </c>
      <c r="I12" s="3">
        <f t="shared" si="0"/>
        <v>0.505279310681708</v>
      </c>
      <c r="J12" s="3">
        <f t="shared" si="0"/>
        <v>0.494890292381488</v>
      </c>
      <c r="K12" s="3">
        <f t="shared" si="0"/>
        <v>0.484942579116896</v>
      </c>
      <c r="L12" s="3">
        <f t="shared" si="0"/>
        <v>0.475408637026919</v>
      </c>
      <c r="M12" s="3">
        <f t="shared" si="0"/>
        <v>0.466263176104421</v>
      </c>
      <c r="N12" s="3">
        <f t="shared" si="0"/>
        <v>0.457482926183349</v>
      </c>
      <c r="O12" s="3">
        <f t="shared" si="0"/>
        <v>0.44904643923747</v>
      </c>
      <c r="P12" s="3">
        <f t="shared" si="0"/>
        <v>0.440933914454376</v>
      </c>
      <c r="Q12" s="3">
        <f t="shared" si="0"/>
        <v>0.42041227349342</v>
      </c>
      <c r="R12" s="3">
        <f t="shared" si="0"/>
        <v>0.400512614846742</v>
      </c>
      <c r="S12" s="3">
        <f t="shared" si="0"/>
        <v>0.381207083512842</v>
      </c>
      <c r="T12" s="3">
        <f t="shared" si="0"/>
        <v>0.362469463312295</v>
      </c>
      <c r="U12" s="3">
        <f t="shared" si="0"/>
        <v>0.344275058111632</v>
      </c>
      <c r="V12" s="3">
        <f t="shared" si="0"/>
        <v>0.320013302496137</v>
      </c>
      <c r="W12" s="3">
        <f t="shared" si="0"/>
        <v>0.296531670064941</v>
      </c>
      <c r="X12" s="3">
        <f t="shared" si="0"/>
        <v>0.273793129540946</v>
      </c>
      <c r="Y12" s="3">
        <f t="shared" si="0"/>
        <v>0.251762956898678</v>
      </c>
      <c r="Z12" s="3">
        <f t="shared" si="0"/>
        <v>0.230408558427296</v>
      </c>
      <c r="AA12" s="3">
        <f t="shared" si="0"/>
        <v>0.207246002432448</v>
      </c>
      <c r="AB12" s="3">
        <f t="shared" ref="AB12:AJ28" si="3">(($B12-$AJ$2)*((AB$2-$AJ$2)/($B$2-$AJ$2)))+$AJ$2</f>
        <v>0.184543778463227</v>
      </c>
      <c r="AC12" s="3">
        <f t="shared" si="3"/>
        <v>0.162288298602818</v>
      </c>
      <c r="AD12" s="3">
        <f t="shared" si="3"/>
        <v>0.140466504501599</v>
      </c>
      <c r="AE12" s="3">
        <f t="shared" si="3"/>
        <v>0.119065841827301</v>
      </c>
      <c r="AF12" s="3">
        <f t="shared" si="3"/>
        <v>0.110128352022829</v>
      </c>
      <c r="AG12" s="3">
        <f t="shared" si="3"/>
        <v>0.101329185079481</v>
      </c>
      <c r="AH12" s="3">
        <f t="shared" si="3"/>
        <v>0.092665154483189</v>
      </c>
      <c r="AI12" s="3">
        <f t="shared" si="3"/>
        <v>0.0841331708500838</v>
      </c>
      <c r="AJ12" s="3">
        <f t="shared" si="3"/>
        <v>0.0757302382536226</v>
      </c>
    </row>
    <row r="13" spans="1:36">
      <c r="A13" t="str">
        <f>"recycling_archetype_"&amp;TEXT(ROUND(Table26[[#This Row],[2016]],3),"0.000")</f>
        <v>recycling_archetype_0.560</v>
      </c>
      <c r="B13" s="3">
        <f t="shared" si="2"/>
        <v>0.56</v>
      </c>
      <c r="C13" s="3">
        <f t="shared" si="1"/>
        <v>0.56</v>
      </c>
      <c r="D13" s="3">
        <f t="shared" si="1"/>
        <v>0.56</v>
      </c>
      <c r="E13" s="3">
        <f t="shared" si="1"/>
        <v>0.547026884340185</v>
      </c>
      <c r="F13" s="3">
        <f t="shared" si="1"/>
        <v>0.534670315297205</v>
      </c>
      <c r="G13" s="3">
        <f t="shared" si="1"/>
        <v>0.522887361021277</v>
      </c>
      <c r="H13" s="3">
        <f t="shared" si="1"/>
        <v>0.511638985195295</v>
      </c>
      <c r="I13" s="3">
        <f t="shared" si="1"/>
        <v>0.500889614996296</v>
      </c>
      <c r="J13" s="3">
        <f t="shared" si="1"/>
        <v>0.490606765308082</v>
      </c>
      <c r="K13" s="3">
        <f t="shared" si="1"/>
        <v>0.480760710821963</v>
      </c>
      <c r="L13" s="3">
        <f t="shared" si="1"/>
        <v>0.471324199054023</v>
      </c>
      <c r="M13" s="3">
        <f t="shared" si="1"/>
        <v>0.462272198443582</v>
      </c>
      <c r="N13" s="3">
        <f t="shared" si="1"/>
        <v>0.453581676629656</v>
      </c>
      <c r="O13" s="3">
        <f t="shared" si="1"/>
        <v>0.44523140477007</v>
      </c>
      <c r="P13" s="3">
        <f t="shared" si="1"/>
        <v>0.43720178440308</v>
      </c>
      <c r="Q13" s="3">
        <f t="shared" si="1"/>
        <v>0.416889860479283</v>
      </c>
      <c r="R13" s="3">
        <f t="shared" si="1"/>
        <v>0.397193562638878</v>
      </c>
      <c r="S13" s="3">
        <f t="shared" ref="S13:AH29" si="4">(($B13-$AJ$2)*((S$2-$AJ$2)/($B$2-$AJ$2)))+$AJ$2</f>
        <v>0.378085320539295</v>
      </c>
      <c r="T13" s="3">
        <f t="shared" si="4"/>
        <v>0.359539185912409</v>
      </c>
      <c r="U13" s="3">
        <f t="shared" si="4"/>
        <v>0.341530715002225</v>
      </c>
      <c r="V13" s="3">
        <f t="shared" si="4"/>
        <v>0.317516897819803</v>
      </c>
      <c r="W13" s="3">
        <f t="shared" si="4"/>
        <v>0.294275231500015</v>
      </c>
      <c r="X13" s="3">
        <f t="shared" si="4"/>
        <v>0.271769063199912</v>
      </c>
      <c r="Y13" s="3">
        <f t="shared" si="4"/>
        <v>0.249964023749645</v>
      </c>
      <c r="Z13" s="3">
        <f t="shared" si="4"/>
        <v>0.228827852523649</v>
      </c>
      <c r="AA13" s="3">
        <f t="shared" si="4"/>
        <v>0.205902001898781</v>
      </c>
      <c r="AB13" s="3">
        <f t="shared" si="4"/>
        <v>0.183431779023274</v>
      </c>
      <c r="AC13" s="3">
        <f t="shared" si="4"/>
        <v>0.161403734839463</v>
      </c>
      <c r="AD13" s="3">
        <f t="shared" si="4"/>
        <v>0.139804944445068</v>
      </c>
      <c r="AE13" s="3">
        <f t="shared" si="4"/>
        <v>0.118622981804447</v>
      </c>
      <c r="AF13" s="3">
        <f t="shared" si="4"/>
        <v>0.109776826990437</v>
      </c>
      <c r="AG13" s="3">
        <f t="shared" si="4"/>
        <v>0.101067581473175</v>
      </c>
      <c r="AH13" s="3">
        <f t="shared" si="4"/>
        <v>0.0924920913025714</v>
      </c>
      <c r="AI13" s="3">
        <f t="shared" si="3"/>
        <v>0.0840472986661329</v>
      </c>
      <c r="AJ13" s="3">
        <f t="shared" si="3"/>
        <v>0.0757302382536226</v>
      </c>
    </row>
    <row r="14" spans="1:36">
      <c r="A14" t="str">
        <f>"recycling_archetype_"&amp;TEXT(ROUND(Table26[[#This Row],[2016]],3),"0.000")</f>
        <v>recycling_archetype_0.555</v>
      </c>
      <c r="B14" s="3">
        <f t="shared" si="2"/>
        <v>0.555</v>
      </c>
      <c r="C14" s="3">
        <f t="shared" si="1"/>
        <v>0.555</v>
      </c>
      <c r="D14" s="3">
        <f t="shared" si="1"/>
        <v>0.555</v>
      </c>
      <c r="E14" s="3">
        <f t="shared" si="1"/>
        <v>0.542160829474536</v>
      </c>
      <c r="F14" s="3">
        <f t="shared" si="1"/>
        <v>0.529931839830674</v>
      </c>
      <c r="G14" s="3">
        <f t="shared" si="1"/>
        <v>0.51827054248242</v>
      </c>
      <c r="H14" s="3">
        <f t="shared" si="1"/>
        <v>0.507138304155767</v>
      </c>
      <c r="I14" s="3">
        <f t="shared" si="1"/>
        <v>0.496499919310884</v>
      </c>
      <c r="J14" s="3">
        <f t="shared" si="1"/>
        <v>0.486323238234676</v>
      </c>
      <c r="K14" s="3">
        <f t="shared" si="1"/>
        <v>0.476578842527031</v>
      </c>
      <c r="L14" s="3">
        <f t="shared" si="1"/>
        <v>0.467239761081127</v>
      </c>
      <c r="M14" s="3">
        <f t="shared" si="1"/>
        <v>0.458281220782743</v>
      </c>
      <c r="N14" s="3">
        <f t="shared" si="1"/>
        <v>0.449680427075963</v>
      </c>
      <c r="O14" s="3">
        <f t="shared" si="1"/>
        <v>0.441416370302669</v>
      </c>
      <c r="P14" s="3">
        <f t="shared" si="1"/>
        <v>0.433469654351785</v>
      </c>
      <c r="Q14" s="3">
        <f t="shared" si="1"/>
        <v>0.413367447465147</v>
      </c>
      <c r="R14" s="3">
        <f t="shared" si="1"/>
        <v>0.393874510431014</v>
      </c>
      <c r="S14" s="3">
        <f t="shared" si="4"/>
        <v>0.374963557565748</v>
      </c>
      <c r="T14" s="3">
        <f t="shared" si="4"/>
        <v>0.356608908512522</v>
      </c>
      <c r="U14" s="3">
        <f t="shared" si="4"/>
        <v>0.338786371892817</v>
      </c>
      <c r="V14" s="3">
        <f t="shared" si="4"/>
        <v>0.315020493143469</v>
      </c>
      <c r="W14" s="3">
        <f t="shared" si="4"/>
        <v>0.29201879293509</v>
      </c>
      <c r="X14" s="3">
        <f t="shared" si="4"/>
        <v>0.269744996858877</v>
      </c>
      <c r="Y14" s="3">
        <f t="shared" si="4"/>
        <v>0.248165090600611</v>
      </c>
      <c r="Z14" s="3">
        <f t="shared" si="4"/>
        <v>0.227247146620002</v>
      </c>
      <c r="AA14" s="3">
        <f t="shared" si="4"/>
        <v>0.204558001365115</v>
      </c>
      <c r="AB14" s="3">
        <f t="shared" si="4"/>
        <v>0.182319779583321</v>
      </c>
      <c r="AC14" s="3">
        <f t="shared" si="4"/>
        <v>0.160519171076109</v>
      </c>
      <c r="AD14" s="3">
        <f t="shared" si="4"/>
        <v>0.139143384388537</v>
      </c>
      <c r="AE14" s="3">
        <f t="shared" si="4"/>
        <v>0.118180121781594</v>
      </c>
      <c r="AF14" s="3">
        <f t="shared" si="4"/>
        <v>0.109425301958046</v>
      </c>
      <c r="AG14" s="3">
        <f t="shared" si="4"/>
        <v>0.100805977866869</v>
      </c>
      <c r="AH14" s="3">
        <f t="shared" si="4"/>
        <v>0.0923190281219538</v>
      </c>
      <c r="AI14" s="3">
        <f t="shared" si="3"/>
        <v>0.083961426482182</v>
      </c>
      <c r="AJ14" s="3">
        <f t="shared" si="3"/>
        <v>0.0757302382536226</v>
      </c>
    </row>
    <row r="15" spans="1:36">
      <c r="A15" t="str">
        <f>"recycling_archetype_"&amp;TEXT(ROUND(Table26[[#This Row],[2016]],3),"0.000")</f>
        <v>recycling_archetype_0.550</v>
      </c>
      <c r="B15" s="3">
        <f t="shared" si="2"/>
        <v>0.55</v>
      </c>
      <c r="C15" s="3">
        <f t="shared" si="1"/>
        <v>0.55</v>
      </c>
      <c r="D15" s="3">
        <f t="shared" si="1"/>
        <v>0.55</v>
      </c>
      <c r="E15" s="3">
        <f t="shared" si="1"/>
        <v>0.537294774608887</v>
      </c>
      <c r="F15" s="3">
        <f t="shared" si="1"/>
        <v>0.525193364364143</v>
      </c>
      <c r="G15" s="3">
        <f t="shared" si="1"/>
        <v>0.513653723943564</v>
      </c>
      <c r="H15" s="3">
        <f t="shared" si="1"/>
        <v>0.50263762311624</v>
      </c>
      <c r="I15" s="3">
        <f t="shared" si="1"/>
        <v>0.492110223625473</v>
      </c>
      <c r="J15" s="3">
        <f t="shared" si="1"/>
        <v>0.482039711161271</v>
      </c>
      <c r="K15" s="3">
        <f t="shared" si="1"/>
        <v>0.472396974232098</v>
      </c>
      <c r="L15" s="3">
        <f t="shared" si="1"/>
        <v>0.463155323108232</v>
      </c>
      <c r="M15" s="3">
        <f t="shared" si="1"/>
        <v>0.454290243121903</v>
      </c>
      <c r="N15" s="3">
        <f t="shared" si="1"/>
        <v>0.44577917752227</v>
      </c>
      <c r="O15" s="3">
        <f t="shared" si="1"/>
        <v>0.437601335835269</v>
      </c>
      <c r="P15" s="3">
        <f t="shared" si="1"/>
        <v>0.42973752430049</v>
      </c>
      <c r="Q15" s="3">
        <f t="shared" si="1"/>
        <v>0.40984503445101</v>
      </c>
      <c r="R15" s="3">
        <f t="shared" si="1"/>
        <v>0.390555458223149</v>
      </c>
      <c r="S15" s="3">
        <f t="shared" si="4"/>
        <v>0.371841794592201</v>
      </c>
      <c r="T15" s="3">
        <f t="shared" si="4"/>
        <v>0.353678631112635</v>
      </c>
      <c r="U15" s="3">
        <f t="shared" si="4"/>
        <v>0.33604202878341</v>
      </c>
      <c r="V15" s="3">
        <f t="shared" si="4"/>
        <v>0.312524088467134</v>
      </c>
      <c r="W15" s="3">
        <f t="shared" si="4"/>
        <v>0.289762354370164</v>
      </c>
      <c r="X15" s="3">
        <f t="shared" si="4"/>
        <v>0.267720930517843</v>
      </c>
      <c r="Y15" s="3">
        <f t="shared" si="4"/>
        <v>0.246366157451578</v>
      </c>
      <c r="Z15" s="3">
        <f t="shared" si="4"/>
        <v>0.225666440716356</v>
      </c>
      <c r="AA15" s="3">
        <f t="shared" si="4"/>
        <v>0.203214000831448</v>
      </c>
      <c r="AB15" s="3">
        <f t="shared" si="4"/>
        <v>0.181207780143367</v>
      </c>
      <c r="AC15" s="3">
        <f t="shared" si="4"/>
        <v>0.159634607312754</v>
      </c>
      <c r="AD15" s="3">
        <f t="shared" si="4"/>
        <v>0.138481824332006</v>
      </c>
      <c r="AE15" s="3">
        <f t="shared" si="4"/>
        <v>0.117737261758741</v>
      </c>
      <c r="AF15" s="3">
        <f t="shared" si="4"/>
        <v>0.109073776925655</v>
      </c>
      <c r="AG15" s="3">
        <f t="shared" si="4"/>
        <v>0.100544374260563</v>
      </c>
      <c r="AH15" s="3">
        <f t="shared" si="4"/>
        <v>0.0921459649413363</v>
      </c>
      <c r="AI15" s="3">
        <f t="shared" si="3"/>
        <v>0.0838755542982311</v>
      </c>
      <c r="AJ15" s="3">
        <f t="shared" si="3"/>
        <v>0.0757302382536226</v>
      </c>
    </row>
    <row r="16" spans="1:36">
      <c r="A16" t="str">
        <f>"recycling_archetype_"&amp;TEXT(ROUND(Table26[[#This Row],[2016]],3),"0.000")</f>
        <v>recycling_archetype_0.545</v>
      </c>
      <c r="B16" s="3">
        <f t="shared" si="2"/>
        <v>0.545</v>
      </c>
      <c r="C16" s="3">
        <f t="shared" si="1"/>
        <v>0.545</v>
      </c>
      <c r="D16" s="3">
        <f t="shared" si="1"/>
        <v>0.545</v>
      </c>
      <c r="E16" s="3">
        <f t="shared" si="1"/>
        <v>0.532428719743237</v>
      </c>
      <c r="F16" s="3">
        <f t="shared" si="1"/>
        <v>0.520454888897612</v>
      </c>
      <c r="G16" s="3">
        <f t="shared" si="1"/>
        <v>0.509036905404707</v>
      </c>
      <c r="H16" s="3">
        <f t="shared" si="1"/>
        <v>0.498136942076713</v>
      </c>
      <c r="I16" s="3">
        <f t="shared" si="1"/>
        <v>0.487720527940061</v>
      </c>
      <c r="J16" s="3">
        <f t="shared" si="1"/>
        <v>0.477756184087865</v>
      </c>
      <c r="K16" s="3">
        <f t="shared" si="1"/>
        <v>0.468215105937166</v>
      </c>
      <c r="L16" s="3">
        <f t="shared" si="1"/>
        <v>0.459070885135336</v>
      </c>
      <c r="M16" s="3">
        <f t="shared" si="1"/>
        <v>0.450299265461064</v>
      </c>
      <c r="N16" s="3">
        <f t="shared" si="1"/>
        <v>0.441877927968577</v>
      </c>
      <c r="O16" s="3">
        <f t="shared" si="1"/>
        <v>0.433786301367868</v>
      </c>
      <c r="P16" s="3">
        <f t="shared" si="1"/>
        <v>0.426005394249194</v>
      </c>
      <c r="Q16" s="3">
        <f t="shared" si="1"/>
        <v>0.406322621436873</v>
      </c>
      <c r="R16" s="3">
        <f t="shared" si="1"/>
        <v>0.387236406015285</v>
      </c>
      <c r="S16" s="3">
        <f t="shared" si="4"/>
        <v>0.368720031618654</v>
      </c>
      <c r="T16" s="3">
        <f t="shared" si="4"/>
        <v>0.350748353712748</v>
      </c>
      <c r="U16" s="3">
        <f t="shared" si="4"/>
        <v>0.333297685674003</v>
      </c>
      <c r="V16" s="3">
        <f t="shared" si="4"/>
        <v>0.3100276837908</v>
      </c>
      <c r="W16" s="3">
        <f t="shared" si="4"/>
        <v>0.287505915805238</v>
      </c>
      <c r="X16" s="3">
        <f t="shared" si="4"/>
        <v>0.265696864176809</v>
      </c>
      <c r="Y16" s="3">
        <f t="shared" si="4"/>
        <v>0.244567224302544</v>
      </c>
      <c r="Z16" s="3">
        <f t="shared" si="4"/>
        <v>0.224085734812709</v>
      </c>
      <c r="AA16" s="3">
        <f t="shared" si="4"/>
        <v>0.201870000297781</v>
      </c>
      <c r="AB16" s="3">
        <f t="shared" si="4"/>
        <v>0.180095780703414</v>
      </c>
      <c r="AC16" s="3">
        <f t="shared" si="4"/>
        <v>0.158750043549399</v>
      </c>
      <c r="AD16" s="3">
        <f t="shared" si="4"/>
        <v>0.137820264275475</v>
      </c>
      <c r="AE16" s="3">
        <f t="shared" si="4"/>
        <v>0.117294401735888</v>
      </c>
      <c r="AF16" s="3">
        <f t="shared" si="4"/>
        <v>0.108722251893263</v>
      </c>
      <c r="AG16" s="3">
        <f t="shared" si="4"/>
        <v>0.100282770654257</v>
      </c>
      <c r="AH16" s="3">
        <f t="shared" si="4"/>
        <v>0.0919729017607187</v>
      </c>
      <c r="AI16" s="3">
        <f t="shared" si="3"/>
        <v>0.0837896821142801</v>
      </c>
      <c r="AJ16" s="3">
        <f t="shared" si="3"/>
        <v>0.0757302382536226</v>
      </c>
    </row>
    <row r="17" spans="1:36">
      <c r="A17" t="str">
        <f>"recycling_archetype_"&amp;TEXT(ROUND(Table26[[#This Row],[2016]],3),"0.000")</f>
        <v>recycling_archetype_0.540</v>
      </c>
      <c r="B17" s="3">
        <f t="shared" si="2"/>
        <v>0.54</v>
      </c>
      <c r="C17" s="3">
        <f t="shared" si="1"/>
        <v>0.54</v>
      </c>
      <c r="D17" s="3">
        <f t="shared" si="1"/>
        <v>0.54</v>
      </c>
      <c r="E17" s="3">
        <f t="shared" si="1"/>
        <v>0.527562664877588</v>
      </c>
      <c r="F17" s="3">
        <f t="shared" si="1"/>
        <v>0.515716413431082</v>
      </c>
      <c r="G17" s="3">
        <f t="shared" si="1"/>
        <v>0.504420086865851</v>
      </c>
      <c r="H17" s="3">
        <f t="shared" si="1"/>
        <v>0.493636261037185</v>
      </c>
      <c r="I17" s="3">
        <f t="shared" si="1"/>
        <v>0.48333083225465</v>
      </c>
      <c r="J17" s="3">
        <f t="shared" si="1"/>
        <v>0.473472657014459</v>
      </c>
      <c r="K17" s="3">
        <f t="shared" si="1"/>
        <v>0.464033237642233</v>
      </c>
      <c r="L17" s="3">
        <f t="shared" si="1"/>
        <v>0.454986447162441</v>
      </c>
      <c r="M17" s="3">
        <f t="shared" si="1"/>
        <v>0.446308287800225</v>
      </c>
      <c r="N17" s="3">
        <f t="shared" si="1"/>
        <v>0.437976678414883</v>
      </c>
      <c r="O17" s="3">
        <f t="shared" si="1"/>
        <v>0.429971266900468</v>
      </c>
      <c r="P17" s="3">
        <f t="shared" si="1"/>
        <v>0.422273264197899</v>
      </c>
      <c r="Q17" s="3">
        <f t="shared" si="1"/>
        <v>0.402800208422737</v>
      </c>
      <c r="R17" s="3">
        <f t="shared" si="1"/>
        <v>0.38391735380742</v>
      </c>
      <c r="S17" s="3">
        <f t="shared" si="4"/>
        <v>0.365598268645106</v>
      </c>
      <c r="T17" s="3">
        <f t="shared" si="4"/>
        <v>0.347818076312862</v>
      </c>
      <c r="U17" s="3">
        <f t="shared" si="4"/>
        <v>0.330553342564595</v>
      </c>
      <c r="V17" s="3">
        <f t="shared" si="4"/>
        <v>0.307531279114466</v>
      </c>
      <c r="W17" s="3">
        <f t="shared" si="4"/>
        <v>0.285249477240312</v>
      </c>
      <c r="X17" s="3">
        <f t="shared" si="4"/>
        <v>0.263672797835775</v>
      </c>
      <c r="Y17" s="3">
        <f t="shared" si="4"/>
        <v>0.242768291153511</v>
      </c>
      <c r="Z17" s="3">
        <f t="shared" si="4"/>
        <v>0.222505028909062</v>
      </c>
      <c r="AA17" s="3">
        <f t="shared" si="4"/>
        <v>0.200525999764114</v>
      </c>
      <c r="AB17" s="3">
        <f t="shared" si="4"/>
        <v>0.178983781263461</v>
      </c>
      <c r="AC17" s="3">
        <f t="shared" si="4"/>
        <v>0.157865479786045</v>
      </c>
      <c r="AD17" s="3">
        <f t="shared" si="4"/>
        <v>0.137158704218944</v>
      </c>
      <c r="AE17" s="3">
        <f t="shared" si="4"/>
        <v>0.116851541713034</v>
      </c>
      <c r="AF17" s="3">
        <f t="shared" si="4"/>
        <v>0.108370726860872</v>
      </c>
      <c r="AG17" s="3">
        <f t="shared" si="4"/>
        <v>0.100021167047951</v>
      </c>
      <c r="AH17" s="3">
        <f t="shared" si="4"/>
        <v>0.0917998385801011</v>
      </c>
      <c r="AI17" s="3">
        <f t="shared" si="3"/>
        <v>0.0837038099303292</v>
      </c>
      <c r="AJ17" s="3">
        <f t="shared" si="3"/>
        <v>0.0757302382536226</v>
      </c>
    </row>
    <row r="18" spans="1:36">
      <c r="A18" t="str">
        <f>"recycling_archetype_"&amp;TEXT(ROUND(Table26[[#This Row],[2016]],3),"0.000")</f>
        <v>recycling_archetype_0.535</v>
      </c>
      <c r="B18" s="3">
        <f t="shared" si="2"/>
        <v>0.535</v>
      </c>
      <c r="C18" s="3">
        <f t="shared" si="1"/>
        <v>0.535</v>
      </c>
      <c r="D18" s="3">
        <f t="shared" si="1"/>
        <v>0.535</v>
      </c>
      <c r="E18" s="3">
        <f t="shared" si="1"/>
        <v>0.522696610011938</v>
      </c>
      <c r="F18" s="3">
        <f t="shared" si="1"/>
        <v>0.510977937964551</v>
      </c>
      <c r="G18" s="3">
        <f t="shared" si="1"/>
        <v>0.499803268326994</v>
      </c>
      <c r="H18" s="3">
        <f t="shared" si="1"/>
        <v>0.489135579997658</v>
      </c>
      <c r="I18" s="3">
        <f t="shared" si="1"/>
        <v>0.478941136569238</v>
      </c>
      <c r="J18" s="3">
        <f t="shared" si="1"/>
        <v>0.469189129941054</v>
      </c>
      <c r="K18" s="3">
        <f t="shared" si="1"/>
        <v>0.459851369347301</v>
      </c>
      <c r="L18" s="3">
        <f t="shared" si="1"/>
        <v>0.450902009189545</v>
      </c>
      <c r="M18" s="3">
        <f t="shared" si="1"/>
        <v>0.442317310139385</v>
      </c>
      <c r="N18" s="3">
        <f t="shared" si="1"/>
        <v>0.43407542886119</v>
      </c>
      <c r="O18" s="3">
        <f t="shared" si="1"/>
        <v>0.426156232433067</v>
      </c>
      <c r="P18" s="3">
        <f t="shared" si="1"/>
        <v>0.418541134146604</v>
      </c>
      <c r="Q18" s="3">
        <f t="shared" si="1"/>
        <v>0.3992777954086</v>
      </c>
      <c r="R18" s="3">
        <f t="shared" si="1"/>
        <v>0.380598301599556</v>
      </c>
      <c r="S18" s="3">
        <f t="shared" si="4"/>
        <v>0.362476505671559</v>
      </c>
      <c r="T18" s="3">
        <f t="shared" si="4"/>
        <v>0.344887798912975</v>
      </c>
      <c r="U18" s="3">
        <f t="shared" si="4"/>
        <v>0.327808999455188</v>
      </c>
      <c r="V18" s="3">
        <f t="shared" si="4"/>
        <v>0.305034874438132</v>
      </c>
      <c r="W18" s="3">
        <f t="shared" si="4"/>
        <v>0.282993038675386</v>
      </c>
      <c r="X18" s="3">
        <f t="shared" si="4"/>
        <v>0.261648731494741</v>
      </c>
      <c r="Y18" s="3">
        <f t="shared" si="4"/>
        <v>0.240969358004477</v>
      </c>
      <c r="Z18" s="3">
        <f t="shared" si="4"/>
        <v>0.220924323005415</v>
      </c>
      <c r="AA18" s="3">
        <f t="shared" si="4"/>
        <v>0.199181999230448</v>
      </c>
      <c r="AB18" s="3">
        <f t="shared" si="4"/>
        <v>0.177871781823508</v>
      </c>
      <c r="AC18" s="3">
        <f t="shared" si="4"/>
        <v>0.15698091602269</v>
      </c>
      <c r="AD18" s="3">
        <f t="shared" si="4"/>
        <v>0.136497144162413</v>
      </c>
      <c r="AE18" s="3">
        <f t="shared" si="4"/>
        <v>0.116408681690181</v>
      </c>
      <c r="AF18" s="3">
        <f t="shared" si="4"/>
        <v>0.10801920182848</v>
      </c>
      <c r="AG18" s="3">
        <f t="shared" si="4"/>
        <v>0.0997595634416454</v>
      </c>
      <c r="AH18" s="3">
        <f t="shared" si="4"/>
        <v>0.0916267753994835</v>
      </c>
      <c r="AI18" s="3">
        <f t="shared" si="3"/>
        <v>0.0836179377463783</v>
      </c>
      <c r="AJ18" s="3">
        <f t="shared" si="3"/>
        <v>0.0757302382536226</v>
      </c>
    </row>
    <row r="19" spans="1:36">
      <c r="A19" t="str">
        <f>"recycling_archetype_"&amp;TEXT(ROUND(Table26[[#This Row],[2016]],3),"0.000")</f>
        <v>recycling_archetype_0.530</v>
      </c>
      <c r="B19" s="3">
        <f t="shared" si="2"/>
        <v>0.53</v>
      </c>
      <c r="C19" s="3">
        <f t="shared" si="1"/>
        <v>0.53</v>
      </c>
      <c r="D19" s="3">
        <f t="shared" si="1"/>
        <v>0.53</v>
      </c>
      <c r="E19" s="3">
        <f t="shared" si="1"/>
        <v>0.517830555146289</v>
      </c>
      <c r="F19" s="3">
        <f t="shared" si="1"/>
        <v>0.50623946249802</v>
      </c>
      <c r="G19" s="3">
        <f t="shared" si="1"/>
        <v>0.495186449788138</v>
      </c>
      <c r="H19" s="3">
        <f t="shared" si="1"/>
        <v>0.48463489895813</v>
      </c>
      <c r="I19" s="3">
        <f t="shared" si="1"/>
        <v>0.474551440883827</v>
      </c>
      <c r="J19" s="3">
        <f t="shared" si="1"/>
        <v>0.464905602867648</v>
      </c>
      <c r="K19" s="3">
        <f t="shared" si="1"/>
        <v>0.455669501052368</v>
      </c>
      <c r="L19" s="3">
        <f t="shared" si="1"/>
        <v>0.44681757121665</v>
      </c>
      <c r="M19" s="3">
        <f t="shared" si="1"/>
        <v>0.438326332478546</v>
      </c>
      <c r="N19" s="3">
        <f t="shared" si="1"/>
        <v>0.430174179307497</v>
      </c>
      <c r="O19" s="3">
        <f t="shared" si="1"/>
        <v>0.422341197965667</v>
      </c>
      <c r="P19" s="3">
        <f t="shared" si="1"/>
        <v>0.414809004095308</v>
      </c>
      <c r="Q19" s="3">
        <f t="shared" si="1"/>
        <v>0.395755382394463</v>
      </c>
      <c r="R19" s="3">
        <f t="shared" si="1"/>
        <v>0.377279249391692</v>
      </c>
      <c r="S19" s="3">
        <f t="shared" si="4"/>
        <v>0.359354742698012</v>
      </c>
      <c r="T19" s="3">
        <f t="shared" si="4"/>
        <v>0.341957521513088</v>
      </c>
      <c r="U19" s="3">
        <f t="shared" si="4"/>
        <v>0.325064656345781</v>
      </c>
      <c r="V19" s="3">
        <f t="shared" si="4"/>
        <v>0.302538469761798</v>
      </c>
      <c r="W19" s="3">
        <f t="shared" si="4"/>
        <v>0.28073660011046</v>
      </c>
      <c r="X19" s="3">
        <f t="shared" si="4"/>
        <v>0.259624665153707</v>
      </c>
      <c r="Y19" s="3">
        <f t="shared" si="4"/>
        <v>0.239170424855444</v>
      </c>
      <c r="Z19" s="3">
        <f t="shared" si="4"/>
        <v>0.219343617101768</v>
      </c>
      <c r="AA19" s="3">
        <f t="shared" si="4"/>
        <v>0.197837998696781</v>
      </c>
      <c r="AB19" s="3">
        <f t="shared" si="4"/>
        <v>0.176759782383554</v>
      </c>
      <c r="AC19" s="3">
        <f t="shared" si="4"/>
        <v>0.156096352259336</v>
      </c>
      <c r="AD19" s="3">
        <f t="shared" si="4"/>
        <v>0.135835584105882</v>
      </c>
      <c r="AE19" s="3">
        <f t="shared" si="4"/>
        <v>0.115965821667328</v>
      </c>
      <c r="AF19" s="3">
        <f t="shared" si="4"/>
        <v>0.107667676796089</v>
      </c>
      <c r="AG19" s="3">
        <f t="shared" si="4"/>
        <v>0.0994979598353394</v>
      </c>
      <c r="AH19" s="3">
        <f t="shared" si="4"/>
        <v>0.091453712218866</v>
      </c>
      <c r="AI19" s="3">
        <f t="shared" si="3"/>
        <v>0.0835320655624274</v>
      </c>
      <c r="AJ19" s="3">
        <f t="shared" si="3"/>
        <v>0.0757302382536226</v>
      </c>
    </row>
    <row r="20" spans="1:36">
      <c r="A20" t="str">
        <f>"recycling_archetype_"&amp;TEXT(ROUND(Table26[[#This Row],[2016]],3),"0.000")</f>
        <v>recycling_archetype_0.525</v>
      </c>
      <c r="B20" s="3">
        <f t="shared" si="2"/>
        <v>0.525</v>
      </c>
      <c r="C20" s="3">
        <f t="shared" si="1"/>
        <v>0.525</v>
      </c>
      <c r="D20" s="3">
        <f t="shared" si="1"/>
        <v>0.525</v>
      </c>
      <c r="E20" s="3">
        <f t="shared" si="1"/>
        <v>0.51296450028064</v>
      </c>
      <c r="F20" s="3">
        <f t="shared" si="1"/>
        <v>0.501500987031489</v>
      </c>
      <c r="G20" s="3">
        <f t="shared" si="1"/>
        <v>0.490569631249281</v>
      </c>
      <c r="H20" s="3">
        <f t="shared" si="1"/>
        <v>0.480134217918603</v>
      </c>
      <c r="I20" s="3">
        <f t="shared" si="1"/>
        <v>0.470161745198415</v>
      </c>
      <c r="J20" s="3">
        <f t="shared" si="1"/>
        <v>0.460622075794243</v>
      </c>
      <c r="K20" s="3">
        <f t="shared" si="1"/>
        <v>0.451487632757436</v>
      </c>
      <c r="L20" s="3">
        <f t="shared" si="1"/>
        <v>0.442733133243754</v>
      </c>
      <c r="M20" s="3">
        <f t="shared" si="1"/>
        <v>0.434335354817706</v>
      </c>
      <c r="N20" s="3">
        <f t="shared" si="1"/>
        <v>0.426272929753804</v>
      </c>
      <c r="O20" s="3">
        <f t="shared" si="1"/>
        <v>0.418526163498266</v>
      </c>
      <c r="P20" s="3">
        <f t="shared" si="1"/>
        <v>0.411076874044013</v>
      </c>
      <c r="Q20" s="3">
        <f t="shared" si="1"/>
        <v>0.392232969380327</v>
      </c>
      <c r="R20" s="3">
        <f t="shared" si="1"/>
        <v>0.373960197183827</v>
      </c>
      <c r="S20" s="3">
        <f t="shared" si="4"/>
        <v>0.356232979724465</v>
      </c>
      <c r="T20" s="3">
        <f t="shared" si="4"/>
        <v>0.339027244113202</v>
      </c>
      <c r="U20" s="3">
        <f t="shared" si="4"/>
        <v>0.322320313236373</v>
      </c>
      <c r="V20" s="3">
        <f t="shared" si="4"/>
        <v>0.300042065085463</v>
      </c>
      <c r="W20" s="3">
        <f t="shared" si="4"/>
        <v>0.278480161545535</v>
      </c>
      <c r="X20" s="3">
        <f t="shared" si="4"/>
        <v>0.257600598812673</v>
      </c>
      <c r="Y20" s="3">
        <f t="shared" si="4"/>
        <v>0.23737149170641</v>
      </c>
      <c r="Z20" s="3">
        <f t="shared" si="4"/>
        <v>0.217762911198122</v>
      </c>
      <c r="AA20" s="3">
        <f t="shared" si="4"/>
        <v>0.196493998163114</v>
      </c>
      <c r="AB20" s="3">
        <f t="shared" si="4"/>
        <v>0.175647782943601</v>
      </c>
      <c r="AC20" s="3">
        <f t="shared" si="4"/>
        <v>0.155211788495981</v>
      </c>
      <c r="AD20" s="3">
        <f t="shared" si="4"/>
        <v>0.135174024049351</v>
      </c>
      <c r="AE20" s="3">
        <f t="shared" si="4"/>
        <v>0.115522961644475</v>
      </c>
      <c r="AF20" s="3">
        <f t="shared" si="4"/>
        <v>0.107316151763698</v>
      </c>
      <c r="AG20" s="3">
        <f t="shared" si="4"/>
        <v>0.0992363562290335</v>
      </c>
      <c r="AH20" s="3">
        <f t="shared" si="4"/>
        <v>0.0912806490382484</v>
      </c>
      <c r="AI20" s="3">
        <f t="shared" si="3"/>
        <v>0.0834461933784765</v>
      </c>
      <c r="AJ20" s="3">
        <f t="shared" si="3"/>
        <v>0.0757302382536226</v>
      </c>
    </row>
    <row r="21" spans="1:36">
      <c r="A21" t="str">
        <f>"recycling_archetype_"&amp;TEXT(ROUND(Table26[[#This Row],[2016]],3),"0.000")</f>
        <v>recycling_archetype_0.520</v>
      </c>
      <c r="B21" s="3">
        <f t="shared" si="2"/>
        <v>0.52</v>
      </c>
      <c r="C21" s="3">
        <f t="shared" si="1"/>
        <v>0.52</v>
      </c>
      <c r="D21" s="3">
        <f t="shared" si="1"/>
        <v>0.52</v>
      </c>
      <c r="E21" s="3">
        <f t="shared" si="1"/>
        <v>0.50809844541499</v>
      </c>
      <c r="F21" s="3">
        <f t="shared" si="1"/>
        <v>0.496762511564959</v>
      </c>
      <c r="G21" s="3">
        <f t="shared" si="1"/>
        <v>0.485952812710425</v>
      </c>
      <c r="H21" s="3">
        <f t="shared" si="1"/>
        <v>0.475633536879076</v>
      </c>
      <c r="I21" s="3">
        <f t="shared" si="1"/>
        <v>0.465772049513003</v>
      </c>
      <c r="J21" s="3">
        <f t="shared" si="1"/>
        <v>0.456338548720837</v>
      </c>
      <c r="K21" s="3">
        <f t="shared" si="1"/>
        <v>0.447305764462503</v>
      </c>
      <c r="L21" s="3">
        <f t="shared" si="1"/>
        <v>0.438648695270858</v>
      </c>
      <c r="M21" s="3">
        <f t="shared" si="1"/>
        <v>0.430344377156867</v>
      </c>
      <c r="N21" s="3">
        <f t="shared" si="1"/>
        <v>0.422371680200111</v>
      </c>
      <c r="O21" s="3">
        <f t="shared" si="1"/>
        <v>0.414711129030866</v>
      </c>
      <c r="P21" s="3">
        <f t="shared" si="1"/>
        <v>0.407344743992718</v>
      </c>
      <c r="Q21" s="3">
        <f t="shared" si="1"/>
        <v>0.38871055636619</v>
      </c>
      <c r="R21" s="3">
        <f t="shared" si="1"/>
        <v>0.370641144975963</v>
      </c>
      <c r="S21" s="3">
        <f t="shared" si="4"/>
        <v>0.353111216750918</v>
      </c>
      <c r="T21" s="3">
        <f t="shared" si="4"/>
        <v>0.336096966713315</v>
      </c>
      <c r="U21" s="3">
        <f t="shared" si="4"/>
        <v>0.319575970126966</v>
      </c>
      <c r="V21" s="3">
        <f t="shared" si="4"/>
        <v>0.297545660409129</v>
      </c>
      <c r="W21" s="3">
        <f t="shared" si="4"/>
        <v>0.276223722980609</v>
      </c>
      <c r="X21" s="3">
        <f t="shared" si="4"/>
        <v>0.255576532471639</v>
      </c>
      <c r="Y21" s="3">
        <f t="shared" si="4"/>
        <v>0.235572558557377</v>
      </c>
      <c r="Z21" s="3">
        <f t="shared" si="4"/>
        <v>0.216182205294475</v>
      </c>
      <c r="AA21" s="3">
        <f t="shared" si="4"/>
        <v>0.195149997629447</v>
      </c>
      <c r="AB21" s="3">
        <f t="shared" si="4"/>
        <v>0.174535783503648</v>
      </c>
      <c r="AC21" s="3">
        <f t="shared" si="4"/>
        <v>0.154327224732626</v>
      </c>
      <c r="AD21" s="3">
        <f t="shared" si="4"/>
        <v>0.13451246399282</v>
      </c>
      <c r="AE21" s="3">
        <f t="shared" si="4"/>
        <v>0.115080101621622</v>
      </c>
      <c r="AF21" s="3">
        <f t="shared" si="4"/>
        <v>0.106964626731306</v>
      </c>
      <c r="AG21" s="3">
        <f t="shared" si="4"/>
        <v>0.0989747526227276</v>
      </c>
      <c r="AH21" s="3">
        <f t="shared" si="4"/>
        <v>0.0911075858576308</v>
      </c>
      <c r="AI21" s="3">
        <f t="shared" si="3"/>
        <v>0.0833603211945255</v>
      </c>
      <c r="AJ21" s="3">
        <f t="shared" si="3"/>
        <v>0.0757302382536226</v>
      </c>
    </row>
    <row r="22" spans="1:36">
      <c r="A22" t="str">
        <f>"recycling_archetype_"&amp;TEXT(ROUND(Table26[[#This Row],[2016]],3),"0.000")</f>
        <v>recycling_archetype_0.515</v>
      </c>
      <c r="B22" s="3">
        <f t="shared" si="2"/>
        <v>0.515</v>
      </c>
      <c r="C22" s="3">
        <f t="shared" si="1"/>
        <v>0.515</v>
      </c>
      <c r="D22" s="3">
        <f t="shared" si="1"/>
        <v>0.515</v>
      </c>
      <c r="E22" s="3">
        <f t="shared" si="1"/>
        <v>0.503232390549341</v>
      </c>
      <c r="F22" s="3">
        <f t="shared" si="1"/>
        <v>0.492024036098428</v>
      </c>
      <c r="G22" s="3">
        <f t="shared" si="1"/>
        <v>0.481335994171569</v>
      </c>
      <c r="H22" s="3">
        <f t="shared" si="1"/>
        <v>0.471132855839548</v>
      </c>
      <c r="I22" s="3">
        <f t="shared" si="1"/>
        <v>0.461382353827592</v>
      </c>
      <c r="J22" s="3">
        <f t="shared" si="1"/>
        <v>0.452055021647431</v>
      </c>
      <c r="K22" s="3">
        <f t="shared" si="1"/>
        <v>0.443123896167571</v>
      </c>
      <c r="L22" s="3">
        <f t="shared" si="1"/>
        <v>0.434564257297963</v>
      </c>
      <c r="M22" s="3">
        <f t="shared" si="1"/>
        <v>0.426353399496028</v>
      </c>
      <c r="N22" s="3">
        <f t="shared" si="1"/>
        <v>0.418470430646417</v>
      </c>
      <c r="O22" s="3">
        <f t="shared" si="1"/>
        <v>0.410896094563465</v>
      </c>
      <c r="P22" s="3">
        <f t="shared" si="1"/>
        <v>0.403612613941422</v>
      </c>
      <c r="Q22" s="3">
        <f t="shared" si="1"/>
        <v>0.385188143352053</v>
      </c>
      <c r="R22" s="3">
        <f t="shared" si="1"/>
        <v>0.367322092768098</v>
      </c>
      <c r="S22" s="3">
        <f t="shared" si="4"/>
        <v>0.34998945377737</v>
      </c>
      <c r="T22" s="3">
        <f t="shared" si="4"/>
        <v>0.333166689313428</v>
      </c>
      <c r="U22" s="3">
        <f t="shared" si="4"/>
        <v>0.316831627017559</v>
      </c>
      <c r="V22" s="3">
        <f t="shared" si="4"/>
        <v>0.295049255732795</v>
      </c>
      <c r="W22" s="3">
        <f t="shared" si="4"/>
        <v>0.273967284415683</v>
      </c>
      <c r="X22" s="3">
        <f t="shared" si="4"/>
        <v>0.253552466130605</v>
      </c>
      <c r="Y22" s="3">
        <f t="shared" si="4"/>
        <v>0.233773625408344</v>
      </c>
      <c r="Z22" s="3">
        <f t="shared" si="4"/>
        <v>0.214601499390828</v>
      </c>
      <c r="AA22" s="3">
        <f t="shared" si="4"/>
        <v>0.193805997095781</v>
      </c>
      <c r="AB22" s="3">
        <f t="shared" si="4"/>
        <v>0.173423784063695</v>
      </c>
      <c r="AC22" s="3">
        <f t="shared" si="4"/>
        <v>0.153442660969272</v>
      </c>
      <c r="AD22" s="3">
        <f t="shared" si="4"/>
        <v>0.133850903936288</v>
      </c>
      <c r="AE22" s="3">
        <f t="shared" si="4"/>
        <v>0.114637241598768</v>
      </c>
      <c r="AF22" s="3">
        <f t="shared" si="4"/>
        <v>0.106613101698915</v>
      </c>
      <c r="AG22" s="3">
        <f t="shared" si="4"/>
        <v>0.0987131490164217</v>
      </c>
      <c r="AH22" s="3">
        <f t="shared" si="4"/>
        <v>0.0909345226770132</v>
      </c>
      <c r="AI22" s="3">
        <f t="shared" si="3"/>
        <v>0.0832744490105746</v>
      </c>
      <c r="AJ22" s="3">
        <f t="shared" si="3"/>
        <v>0.0757302382536226</v>
      </c>
    </row>
    <row r="23" spans="1:36">
      <c r="A23" t="str">
        <f>"recycling_archetype_"&amp;TEXT(ROUND(Table26[[#This Row],[2016]],3),"0.000")</f>
        <v>recycling_archetype_0.510</v>
      </c>
      <c r="B23" s="3">
        <f t="shared" si="2"/>
        <v>0.51</v>
      </c>
      <c r="C23" s="3">
        <f t="shared" si="1"/>
        <v>0.51</v>
      </c>
      <c r="D23" s="3">
        <f t="shared" si="1"/>
        <v>0.51</v>
      </c>
      <c r="E23" s="3">
        <f t="shared" si="1"/>
        <v>0.498366335683692</v>
      </c>
      <c r="F23" s="3">
        <f t="shared" si="1"/>
        <v>0.487285560631897</v>
      </c>
      <c r="G23" s="3">
        <f t="shared" si="1"/>
        <v>0.476719175632712</v>
      </c>
      <c r="H23" s="3">
        <f t="shared" si="1"/>
        <v>0.466632174800021</v>
      </c>
      <c r="I23" s="3">
        <f t="shared" si="1"/>
        <v>0.45699265814218</v>
      </c>
      <c r="J23" s="3">
        <f t="shared" si="1"/>
        <v>0.447771494574026</v>
      </c>
      <c r="K23" s="3">
        <f t="shared" si="1"/>
        <v>0.438942027872638</v>
      </c>
      <c r="L23" s="3">
        <f t="shared" si="1"/>
        <v>0.430479819325067</v>
      </c>
      <c r="M23" s="3">
        <f t="shared" si="1"/>
        <v>0.422362421835188</v>
      </c>
      <c r="N23" s="3">
        <f t="shared" si="1"/>
        <v>0.414569181092724</v>
      </c>
      <c r="O23" s="3">
        <f t="shared" si="1"/>
        <v>0.407081060096065</v>
      </c>
      <c r="P23" s="3">
        <f t="shared" si="1"/>
        <v>0.399880483890127</v>
      </c>
      <c r="Q23" s="3">
        <f t="shared" si="1"/>
        <v>0.381665730337917</v>
      </c>
      <c r="R23" s="3">
        <f t="shared" si="1"/>
        <v>0.364003040560234</v>
      </c>
      <c r="S23" s="3">
        <f t="shared" si="4"/>
        <v>0.346867690803823</v>
      </c>
      <c r="T23" s="3">
        <f t="shared" si="4"/>
        <v>0.330236411913541</v>
      </c>
      <c r="U23" s="3">
        <f t="shared" si="4"/>
        <v>0.314087283908151</v>
      </c>
      <c r="V23" s="3">
        <f t="shared" si="4"/>
        <v>0.292552851056461</v>
      </c>
      <c r="W23" s="3">
        <f t="shared" si="4"/>
        <v>0.271710845850757</v>
      </c>
      <c r="X23" s="3">
        <f t="shared" si="4"/>
        <v>0.251528399789571</v>
      </c>
      <c r="Y23" s="3">
        <f t="shared" si="4"/>
        <v>0.23197469225931</v>
      </c>
      <c r="Z23" s="3">
        <f t="shared" si="4"/>
        <v>0.213020793487181</v>
      </c>
      <c r="AA23" s="3">
        <f t="shared" si="4"/>
        <v>0.192461996562114</v>
      </c>
      <c r="AB23" s="3">
        <f t="shared" si="4"/>
        <v>0.172311784623742</v>
      </c>
      <c r="AC23" s="3">
        <f t="shared" si="4"/>
        <v>0.152558097205917</v>
      </c>
      <c r="AD23" s="3">
        <f t="shared" si="4"/>
        <v>0.133189343879757</v>
      </c>
      <c r="AE23" s="3">
        <f t="shared" si="4"/>
        <v>0.114194381575915</v>
      </c>
      <c r="AF23" s="3">
        <f t="shared" si="4"/>
        <v>0.106261576666523</v>
      </c>
      <c r="AG23" s="3">
        <f t="shared" si="4"/>
        <v>0.0984515454101158</v>
      </c>
      <c r="AH23" s="3">
        <f t="shared" si="4"/>
        <v>0.0907614594963956</v>
      </c>
      <c r="AI23" s="3">
        <f t="shared" si="3"/>
        <v>0.0831885768266237</v>
      </c>
      <c r="AJ23" s="3">
        <f t="shared" si="3"/>
        <v>0.0757302382536226</v>
      </c>
    </row>
    <row r="24" spans="1:36">
      <c r="A24" t="str">
        <f>"recycling_archetype_"&amp;TEXT(ROUND(Table26[[#This Row],[2016]],3),"0.000")</f>
        <v>recycling_archetype_0.505</v>
      </c>
      <c r="B24" s="3">
        <f t="shared" si="2"/>
        <v>0.505</v>
      </c>
      <c r="C24" s="3">
        <f t="shared" si="1"/>
        <v>0.505</v>
      </c>
      <c r="D24" s="3">
        <f t="shared" si="1"/>
        <v>0.505</v>
      </c>
      <c r="E24" s="3">
        <f t="shared" si="1"/>
        <v>0.493500280818042</v>
      </c>
      <c r="F24" s="3">
        <f t="shared" si="1"/>
        <v>0.482547085165366</v>
      </c>
      <c r="G24" s="3">
        <f t="shared" si="1"/>
        <v>0.472102357093856</v>
      </c>
      <c r="H24" s="3">
        <f t="shared" si="1"/>
        <v>0.462131493760494</v>
      </c>
      <c r="I24" s="3">
        <f t="shared" si="1"/>
        <v>0.452602962456769</v>
      </c>
      <c r="J24" s="3">
        <f t="shared" si="1"/>
        <v>0.44348796750062</v>
      </c>
      <c r="K24" s="3">
        <f t="shared" si="1"/>
        <v>0.434760159577705</v>
      </c>
      <c r="L24" s="3">
        <f t="shared" si="1"/>
        <v>0.426395381352172</v>
      </c>
      <c r="M24" s="3">
        <f t="shared" si="1"/>
        <v>0.418371444174349</v>
      </c>
      <c r="N24" s="3">
        <f t="shared" si="1"/>
        <v>0.410667931539031</v>
      </c>
      <c r="O24" s="3">
        <f t="shared" si="1"/>
        <v>0.403266025628665</v>
      </c>
      <c r="P24" s="3">
        <f t="shared" si="1"/>
        <v>0.396148353838832</v>
      </c>
      <c r="Q24" s="3">
        <f t="shared" si="1"/>
        <v>0.37814331732378</v>
      </c>
      <c r="R24" s="3">
        <f t="shared" si="1"/>
        <v>0.36068398835237</v>
      </c>
      <c r="S24" s="3">
        <f t="shared" si="4"/>
        <v>0.343745927830276</v>
      </c>
      <c r="T24" s="3">
        <f t="shared" si="4"/>
        <v>0.327306134513655</v>
      </c>
      <c r="U24" s="3">
        <f t="shared" si="4"/>
        <v>0.311342940798744</v>
      </c>
      <c r="V24" s="3">
        <f t="shared" si="4"/>
        <v>0.290056446380127</v>
      </c>
      <c r="W24" s="3">
        <f t="shared" si="4"/>
        <v>0.269454407285831</v>
      </c>
      <c r="X24" s="3">
        <f t="shared" si="4"/>
        <v>0.249504333448537</v>
      </c>
      <c r="Y24" s="3">
        <f t="shared" si="4"/>
        <v>0.230175759110276</v>
      </c>
      <c r="Z24" s="3">
        <f t="shared" si="4"/>
        <v>0.211440087583534</v>
      </c>
      <c r="AA24" s="3">
        <f t="shared" si="4"/>
        <v>0.191117996028447</v>
      </c>
      <c r="AB24" s="3">
        <f t="shared" si="4"/>
        <v>0.171199785183788</v>
      </c>
      <c r="AC24" s="3">
        <f t="shared" si="4"/>
        <v>0.151673533442563</v>
      </c>
      <c r="AD24" s="3">
        <f t="shared" si="4"/>
        <v>0.132527783823226</v>
      </c>
      <c r="AE24" s="3">
        <f t="shared" si="4"/>
        <v>0.113751521553062</v>
      </c>
      <c r="AF24" s="3">
        <f t="shared" si="4"/>
        <v>0.105910051634132</v>
      </c>
      <c r="AG24" s="3">
        <f t="shared" si="4"/>
        <v>0.0981899418038098</v>
      </c>
      <c r="AH24" s="3">
        <f t="shared" si="4"/>
        <v>0.0905883963157781</v>
      </c>
      <c r="AI24" s="3">
        <f t="shared" si="3"/>
        <v>0.0831027046426728</v>
      </c>
      <c r="AJ24" s="3">
        <f t="shared" si="3"/>
        <v>0.0757302382536226</v>
      </c>
    </row>
    <row r="25" spans="1:36">
      <c r="A25" t="str">
        <f>"recycling_archetype_"&amp;TEXT(ROUND(Table26[[#This Row],[2016]],3),"0.000")</f>
        <v>recycling_archetype_0.500</v>
      </c>
      <c r="B25" s="3">
        <f t="shared" si="2"/>
        <v>0.5</v>
      </c>
      <c r="C25" s="3">
        <f t="shared" si="1"/>
        <v>0.5</v>
      </c>
      <c r="D25" s="3">
        <f t="shared" si="1"/>
        <v>0.5</v>
      </c>
      <c r="E25" s="3">
        <f t="shared" si="1"/>
        <v>0.488634225952393</v>
      </c>
      <c r="F25" s="3">
        <f t="shared" si="1"/>
        <v>0.477808609698835</v>
      </c>
      <c r="G25" s="3">
        <f t="shared" si="1"/>
        <v>0.467485538554999</v>
      </c>
      <c r="H25" s="3">
        <f t="shared" si="1"/>
        <v>0.457630812720966</v>
      </c>
      <c r="I25" s="3">
        <f t="shared" si="1"/>
        <v>0.448213266771357</v>
      </c>
      <c r="J25" s="3">
        <f t="shared" si="1"/>
        <v>0.439204440427214</v>
      </c>
      <c r="K25" s="3">
        <f t="shared" si="1"/>
        <v>0.430578291282773</v>
      </c>
      <c r="L25" s="3">
        <f t="shared" si="1"/>
        <v>0.422310943379276</v>
      </c>
      <c r="M25" s="3">
        <f t="shared" si="1"/>
        <v>0.41438046651351</v>
      </c>
      <c r="N25" s="3">
        <f t="shared" si="1"/>
        <v>0.406766681985338</v>
      </c>
      <c r="O25" s="3">
        <f t="shared" si="1"/>
        <v>0.399450991161264</v>
      </c>
      <c r="P25" s="3">
        <f t="shared" si="1"/>
        <v>0.392416223787536</v>
      </c>
      <c r="Q25" s="3">
        <f t="shared" si="1"/>
        <v>0.374620904309643</v>
      </c>
      <c r="R25" s="3">
        <f t="shared" si="1"/>
        <v>0.357364936144505</v>
      </c>
      <c r="S25" s="3">
        <f t="shared" si="4"/>
        <v>0.340624164856729</v>
      </c>
      <c r="T25" s="3">
        <f t="shared" si="4"/>
        <v>0.324375857113768</v>
      </c>
      <c r="U25" s="3">
        <f t="shared" si="4"/>
        <v>0.308598597689337</v>
      </c>
      <c r="V25" s="3">
        <f t="shared" si="4"/>
        <v>0.287560041703792</v>
      </c>
      <c r="W25" s="3">
        <f t="shared" si="4"/>
        <v>0.267197968720906</v>
      </c>
      <c r="X25" s="3">
        <f t="shared" si="4"/>
        <v>0.247480267107502</v>
      </c>
      <c r="Y25" s="3">
        <f t="shared" si="4"/>
        <v>0.228376825961243</v>
      </c>
      <c r="Z25" s="3">
        <f t="shared" si="4"/>
        <v>0.209859381679887</v>
      </c>
      <c r="AA25" s="3">
        <f t="shared" si="4"/>
        <v>0.18977399549478</v>
      </c>
      <c r="AB25" s="3">
        <f t="shared" si="4"/>
        <v>0.170087785743835</v>
      </c>
      <c r="AC25" s="3">
        <f t="shared" si="4"/>
        <v>0.150788969679208</v>
      </c>
      <c r="AD25" s="3">
        <f t="shared" si="4"/>
        <v>0.131866223766695</v>
      </c>
      <c r="AE25" s="3">
        <f t="shared" si="4"/>
        <v>0.113308661530209</v>
      </c>
      <c r="AF25" s="3">
        <f t="shared" si="4"/>
        <v>0.105558526601741</v>
      </c>
      <c r="AG25" s="3">
        <f t="shared" si="4"/>
        <v>0.0979283381975039</v>
      </c>
      <c r="AH25" s="3">
        <f t="shared" si="4"/>
        <v>0.0904153331351605</v>
      </c>
      <c r="AI25" s="3">
        <f t="shared" si="3"/>
        <v>0.0830168324587219</v>
      </c>
      <c r="AJ25" s="3">
        <f t="shared" si="3"/>
        <v>0.0757302382536226</v>
      </c>
    </row>
    <row r="26" spans="1:36">
      <c r="A26" t="str">
        <f>"recycling_archetype_"&amp;TEXT(ROUND(Table26[[#This Row],[2016]],3),"0.000")</f>
        <v>recycling_archetype_0.495</v>
      </c>
      <c r="B26" s="3">
        <f t="shared" si="2"/>
        <v>0.495</v>
      </c>
      <c r="C26" s="3">
        <f t="shared" si="1"/>
        <v>0.495</v>
      </c>
      <c r="D26" s="3">
        <f t="shared" si="1"/>
        <v>0.495</v>
      </c>
      <c r="E26" s="3">
        <f t="shared" si="1"/>
        <v>0.483768171086744</v>
      </c>
      <c r="F26" s="3">
        <f t="shared" si="1"/>
        <v>0.473070134232305</v>
      </c>
      <c r="G26" s="3">
        <f t="shared" si="1"/>
        <v>0.462868720016143</v>
      </c>
      <c r="H26" s="3">
        <f t="shared" si="1"/>
        <v>0.453130131681439</v>
      </c>
      <c r="I26" s="3">
        <f t="shared" si="1"/>
        <v>0.443823571085946</v>
      </c>
      <c r="J26" s="3">
        <f t="shared" si="1"/>
        <v>0.434920913353809</v>
      </c>
      <c r="K26" s="3">
        <f t="shared" si="1"/>
        <v>0.42639642298784</v>
      </c>
      <c r="L26" s="3">
        <f t="shared" si="1"/>
        <v>0.41822650540638</v>
      </c>
      <c r="M26" s="3">
        <f t="shared" si="1"/>
        <v>0.41038948885267</v>
      </c>
      <c r="N26" s="3">
        <f t="shared" si="1"/>
        <v>0.402865432431645</v>
      </c>
      <c r="O26" s="3">
        <f t="shared" si="1"/>
        <v>0.395635956693864</v>
      </c>
      <c r="P26" s="3">
        <f t="shared" si="1"/>
        <v>0.388684093736241</v>
      </c>
      <c r="Q26" s="3">
        <f t="shared" si="1"/>
        <v>0.371098491295507</v>
      </c>
      <c r="R26" s="3">
        <f t="shared" si="1"/>
        <v>0.354045883936641</v>
      </c>
      <c r="S26" s="3">
        <f t="shared" si="4"/>
        <v>0.337502401883182</v>
      </c>
      <c r="T26" s="3">
        <f t="shared" si="4"/>
        <v>0.321445579713881</v>
      </c>
      <c r="U26" s="3">
        <f t="shared" si="4"/>
        <v>0.305854254579929</v>
      </c>
      <c r="V26" s="3">
        <f t="shared" si="4"/>
        <v>0.285063637027458</v>
      </c>
      <c r="W26" s="3">
        <f t="shared" si="4"/>
        <v>0.26494153015598</v>
      </c>
      <c r="X26" s="3">
        <f t="shared" si="4"/>
        <v>0.245456200766468</v>
      </c>
      <c r="Y26" s="3">
        <f t="shared" si="4"/>
        <v>0.22657789281221</v>
      </c>
      <c r="Z26" s="3">
        <f t="shared" si="4"/>
        <v>0.208278675776241</v>
      </c>
      <c r="AA26" s="3">
        <f t="shared" si="4"/>
        <v>0.188429994961114</v>
      </c>
      <c r="AB26" s="3">
        <f t="shared" si="4"/>
        <v>0.168975786303882</v>
      </c>
      <c r="AC26" s="3">
        <f t="shared" si="4"/>
        <v>0.149904405915854</v>
      </c>
      <c r="AD26" s="3">
        <f t="shared" si="4"/>
        <v>0.131204663710164</v>
      </c>
      <c r="AE26" s="3">
        <f t="shared" si="4"/>
        <v>0.112865801507355</v>
      </c>
      <c r="AF26" s="3">
        <f t="shared" si="4"/>
        <v>0.105207001569349</v>
      </c>
      <c r="AG26" s="3">
        <f t="shared" si="4"/>
        <v>0.097666734591198</v>
      </c>
      <c r="AH26" s="3">
        <f t="shared" si="4"/>
        <v>0.0902422699545429</v>
      </c>
      <c r="AI26" s="3">
        <f t="shared" si="3"/>
        <v>0.082930960274771</v>
      </c>
      <c r="AJ26" s="3">
        <f t="shared" si="3"/>
        <v>0.0757302382536226</v>
      </c>
    </row>
    <row r="27" spans="1:36">
      <c r="A27" t="str">
        <f>"recycling_archetype_"&amp;TEXT(ROUND(Table26[[#This Row],[2016]],3),"0.000")</f>
        <v>recycling_archetype_0.490</v>
      </c>
      <c r="B27" s="3">
        <f t="shared" si="2"/>
        <v>0.49</v>
      </c>
      <c r="C27" s="3">
        <f t="shared" si="1"/>
        <v>0.49</v>
      </c>
      <c r="D27" s="3">
        <f t="shared" si="1"/>
        <v>0.49</v>
      </c>
      <c r="E27" s="3">
        <f t="shared" si="1"/>
        <v>0.478902116221094</v>
      </c>
      <c r="F27" s="3">
        <f t="shared" si="1"/>
        <v>0.468331658765774</v>
      </c>
      <c r="G27" s="3">
        <f t="shared" si="1"/>
        <v>0.458251901477286</v>
      </c>
      <c r="H27" s="3">
        <f t="shared" si="1"/>
        <v>0.448629450641911</v>
      </c>
      <c r="I27" s="3">
        <f t="shared" si="1"/>
        <v>0.439433875400534</v>
      </c>
      <c r="J27" s="3">
        <f t="shared" si="1"/>
        <v>0.430637386280403</v>
      </c>
      <c r="K27" s="3">
        <f t="shared" si="1"/>
        <v>0.422214554692908</v>
      </c>
      <c r="L27" s="3">
        <f t="shared" si="1"/>
        <v>0.414142067433485</v>
      </c>
      <c r="M27" s="3">
        <f t="shared" si="1"/>
        <v>0.406398511191831</v>
      </c>
      <c r="N27" s="3">
        <f t="shared" si="1"/>
        <v>0.398964182877951</v>
      </c>
      <c r="O27" s="3">
        <f t="shared" si="1"/>
        <v>0.391820922226463</v>
      </c>
      <c r="P27" s="3">
        <f t="shared" si="1"/>
        <v>0.384951963684945</v>
      </c>
      <c r="Q27" s="3">
        <f t="shared" si="1"/>
        <v>0.36757607828137</v>
      </c>
      <c r="R27" s="3">
        <f t="shared" si="1"/>
        <v>0.350726831728777</v>
      </c>
      <c r="S27" s="3">
        <f t="shared" si="4"/>
        <v>0.334380638909634</v>
      </c>
      <c r="T27" s="3">
        <f t="shared" si="4"/>
        <v>0.318515302313995</v>
      </c>
      <c r="U27" s="3">
        <f t="shared" si="4"/>
        <v>0.303109911470522</v>
      </c>
      <c r="V27" s="3">
        <f t="shared" si="4"/>
        <v>0.282567232351124</v>
      </c>
      <c r="W27" s="3">
        <f t="shared" si="4"/>
        <v>0.262685091591054</v>
      </c>
      <c r="X27" s="3">
        <f t="shared" si="4"/>
        <v>0.243432134425434</v>
      </c>
      <c r="Y27" s="3">
        <f t="shared" si="4"/>
        <v>0.224778959663176</v>
      </c>
      <c r="Z27" s="3">
        <f t="shared" si="4"/>
        <v>0.206697969872594</v>
      </c>
      <c r="AA27" s="3">
        <f t="shared" si="4"/>
        <v>0.187085994427447</v>
      </c>
      <c r="AB27" s="3">
        <f t="shared" si="4"/>
        <v>0.167863786863929</v>
      </c>
      <c r="AC27" s="3">
        <f t="shared" si="4"/>
        <v>0.149019842152499</v>
      </c>
      <c r="AD27" s="3">
        <f t="shared" si="4"/>
        <v>0.130543103653633</v>
      </c>
      <c r="AE27" s="3">
        <f t="shared" si="4"/>
        <v>0.112422941484502</v>
      </c>
      <c r="AF27" s="3">
        <f t="shared" si="4"/>
        <v>0.104855476536958</v>
      </c>
      <c r="AG27" s="3">
        <f t="shared" si="4"/>
        <v>0.0974051309848921</v>
      </c>
      <c r="AH27" s="3">
        <f t="shared" si="4"/>
        <v>0.0900692067739253</v>
      </c>
      <c r="AI27" s="3">
        <f t="shared" si="3"/>
        <v>0.0828450880908201</v>
      </c>
      <c r="AJ27" s="3">
        <f t="shared" si="3"/>
        <v>0.0757302382536226</v>
      </c>
    </row>
    <row r="28" spans="1:36">
      <c r="A28" t="str">
        <f>"recycling_archetype_"&amp;TEXT(ROUND(Table26[[#This Row],[2016]],3),"0.000")</f>
        <v>recycling_archetype_0.485</v>
      </c>
      <c r="B28" s="3">
        <f t="shared" si="2"/>
        <v>0.485</v>
      </c>
      <c r="C28" s="3">
        <f t="shared" si="1"/>
        <v>0.485</v>
      </c>
      <c r="D28" s="3">
        <f t="shared" si="1"/>
        <v>0.485</v>
      </c>
      <c r="E28" s="3">
        <f t="shared" si="1"/>
        <v>0.474036061355445</v>
      </c>
      <c r="F28" s="3">
        <f t="shared" si="1"/>
        <v>0.463593183299243</v>
      </c>
      <c r="G28" s="3">
        <f t="shared" si="1"/>
        <v>0.45363508293843</v>
      </c>
      <c r="H28" s="3">
        <f t="shared" si="1"/>
        <v>0.444128769602384</v>
      </c>
      <c r="I28" s="3">
        <f t="shared" si="1"/>
        <v>0.435044179715122</v>
      </c>
      <c r="J28" s="3">
        <f t="shared" si="1"/>
        <v>0.426353859206998</v>
      </c>
      <c r="K28" s="3">
        <f t="shared" ref="K28:Z43" si="5">(($B28-$AJ$2)*((K$2-$AJ$2)/($B$2-$AJ$2)))+$AJ$2</f>
        <v>0.418032686397975</v>
      </c>
      <c r="L28" s="3">
        <f t="shared" si="5"/>
        <v>0.410057629460589</v>
      </c>
      <c r="M28" s="3">
        <f t="shared" si="5"/>
        <v>0.402407533530991</v>
      </c>
      <c r="N28" s="3">
        <f t="shared" si="5"/>
        <v>0.395062933324258</v>
      </c>
      <c r="O28" s="3">
        <f t="shared" si="5"/>
        <v>0.388005887759063</v>
      </c>
      <c r="P28" s="3">
        <f t="shared" si="5"/>
        <v>0.38121983363365</v>
      </c>
      <c r="Q28" s="3">
        <f t="shared" si="5"/>
        <v>0.364053665267233</v>
      </c>
      <c r="R28" s="3">
        <f t="shared" si="5"/>
        <v>0.347407779520912</v>
      </c>
      <c r="S28" s="3">
        <f t="shared" si="5"/>
        <v>0.331258875936087</v>
      </c>
      <c r="T28" s="3">
        <f t="shared" si="5"/>
        <v>0.315585024914108</v>
      </c>
      <c r="U28" s="3">
        <f t="shared" si="5"/>
        <v>0.300365568361114</v>
      </c>
      <c r="V28" s="3">
        <f t="shared" si="5"/>
        <v>0.28007082767479</v>
      </c>
      <c r="W28" s="3">
        <f t="shared" si="5"/>
        <v>0.260428653026128</v>
      </c>
      <c r="X28" s="3">
        <f t="shared" si="5"/>
        <v>0.2414080680844</v>
      </c>
      <c r="Y28" s="3">
        <f t="shared" si="5"/>
        <v>0.222980026514143</v>
      </c>
      <c r="Z28" s="3">
        <f t="shared" si="5"/>
        <v>0.205117263968947</v>
      </c>
      <c r="AA28" s="3">
        <f t="shared" si="4"/>
        <v>0.18574199389378</v>
      </c>
      <c r="AB28" s="3">
        <f t="shared" si="4"/>
        <v>0.166751787423975</v>
      </c>
      <c r="AC28" s="3">
        <f t="shared" si="4"/>
        <v>0.148135278389144</v>
      </c>
      <c r="AD28" s="3">
        <f t="shared" si="4"/>
        <v>0.129881543597102</v>
      </c>
      <c r="AE28" s="3">
        <f t="shared" si="4"/>
        <v>0.111980081461649</v>
      </c>
      <c r="AF28" s="3">
        <f t="shared" si="4"/>
        <v>0.104503951504566</v>
      </c>
      <c r="AG28" s="3">
        <f t="shared" si="4"/>
        <v>0.0971435273785861</v>
      </c>
      <c r="AH28" s="3">
        <f t="shared" si="4"/>
        <v>0.0898961435933078</v>
      </c>
      <c r="AI28" s="3">
        <f t="shared" si="3"/>
        <v>0.0827592159068691</v>
      </c>
      <c r="AJ28" s="3">
        <f t="shared" si="3"/>
        <v>0.0757302382536226</v>
      </c>
    </row>
    <row r="29" spans="1:36">
      <c r="A29" t="str">
        <f>"recycling_archetype_"&amp;TEXT(ROUND(Table26[[#This Row],[2016]],3),"0.000")</f>
        <v>recycling_archetype_0.480</v>
      </c>
      <c r="B29" s="3">
        <f t="shared" si="2"/>
        <v>0.48</v>
      </c>
      <c r="C29" s="3">
        <f t="shared" ref="C29:R44" si="6">(($B29-$AJ$2)*((C$2-$AJ$2)/($B$2-$AJ$2)))+$AJ$2</f>
        <v>0.48</v>
      </c>
      <c r="D29" s="3">
        <f t="shared" si="6"/>
        <v>0.48</v>
      </c>
      <c r="E29" s="3">
        <f t="shared" si="6"/>
        <v>0.469170006489796</v>
      </c>
      <c r="F29" s="3">
        <f t="shared" si="6"/>
        <v>0.458854707832712</v>
      </c>
      <c r="G29" s="3">
        <f t="shared" si="6"/>
        <v>0.449018264399573</v>
      </c>
      <c r="H29" s="3">
        <f t="shared" si="6"/>
        <v>0.439628088562857</v>
      </c>
      <c r="I29" s="3">
        <f t="shared" si="6"/>
        <v>0.430654484029711</v>
      </c>
      <c r="J29" s="3">
        <f t="shared" si="6"/>
        <v>0.422070332133592</v>
      </c>
      <c r="K29" s="3">
        <f t="shared" si="6"/>
        <v>0.413850818103043</v>
      </c>
      <c r="L29" s="3">
        <f t="shared" si="6"/>
        <v>0.405973191487694</v>
      </c>
      <c r="M29" s="3">
        <f t="shared" si="6"/>
        <v>0.398416555870152</v>
      </c>
      <c r="N29" s="3">
        <f t="shared" si="6"/>
        <v>0.391161683770565</v>
      </c>
      <c r="O29" s="3">
        <f t="shared" si="6"/>
        <v>0.384190853291662</v>
      </c>
      <c r="P29" s="3">
        <f t="shared" si="6"/>
        <v>0.377487703582355</v>
      </c>
      <c r="Q29" s="3">
        <f t="shared" si="6"/>
        <v>0.360531252253097</v>
      </c>
      <c r="R29" s="3">
        <f t="shared" si="6"/>
        <v>0.344088727313048</v>
      </c>
      <c r="S29" s="3">
        <f t="shared" si="5"/>
        <v>0.32813711296254</v>
      </c>
      <c r="T29" s="3">
        <f t="shared" si="5"/>
        <v>0.312654747514221</v>
      </c>
      <c r="U29" s="3">
        <f t="shared" si="5"/>
        <v>0.297621225251707</v>
      </c>
      <c r="V29" s="3">
        <f t="shared" si="5"/>
        <v>0.277574422998456</v>
      </c>
      <c r="W29" s="3">
        <f t="shared" si="5"/>
        <v>0.258172214461202</v>
      </c>
      <c r="X29" s="3">
        <f t="shared" si="5"/>
        <v>0.239384001743366</v>
      </c>
      <c r="Y29" s="3">
        <f t="shared" si="5"/>
        <v>0.221181093365109</v>
      </c>
      <c r="Z29" s="3">
        <f t="shared" si="5"/>
        <v>0.2035365580653</v>
      </c>
      <c r="AA29" s="3">
        <f t="shared" si="4"/>
        <v>0.184397993360114</v>
      </c>
      <c r="AB29" s="3">
        <f t="shared" si="4"/>
        <v>0.165639787984022</v>
      </c>
      <c r="AC29" s="3">
        <f t="shared" si="4"/>
        <v>0.14725071462579</v>
      </c>
      <c r="AD29" s="3">
        <f t="shared" si="4"/>
        <v>0.129219983540571</v>
      </c>
      <c r="AE29" s="3">
        <f t="shared" si="4"/>
        <v>0.111537221438796</v>
      </c>
      <c r="AF29" s="3">
        <f t="shared" si="4"/>
        <v>0.104152426472175</v>
      </c>
      <c r="AG29" s="3">
        <f t="shared" si="4"/>
        <v>0.0968819237722802</v>
      </c>
      <c r="AH29" s="3">
        <f t="shared" ref="AH29:AJ29" si="7">(($B29-$AJ$2)*((AH$2-$AJ$2)/($B$2-$AJ$2)))+$AJ$2</f>
        <v>0.0897230804126902</v>
      </c>
      <c r="AI29" s="3">
        <f t="shared" si="7"/>
        <v>0.0826733437229182</v>
      </c>
      <c r="AJ29" s="3">
        <f t="shared" si="7"/>
        <v>0.0757302382536226</v>
      </c>
    </row>
    <row r="30" spans="1:36">
      <c r="A30" t="str">
        <f>"recycling_archetype_"&amp;TEXT(ROUND(Table26[[#This Row],[2016]],3),"0.000")</f>
        <v>recycling_archetype_0.475</v>
      </c>
      <c r="B30" s="3">
        <f t="shared" si="2"/>
        <v>0.475</v>
      </c>
      <c r="C30" s="3">
        <f t="shared" si="6"/>
        <v>0.475</v>
      </c>
      <c r="D30" s="3">
        <f t="shared" si="6"/>
        <v>0.475</v>
      </c>
      <c r="E30" s="3">
        <f t="shared" si="6"/>
        <v>0.464303951624146</v>
      </c>
      <c r="F30" s="3">
        <f t="shared" si="6"/>
        <v>0.454116232366182</v>
      </c>
      <c r="G30" s="3">
        <f t="shared" si="6"/>
        <v>0.444401445860717</v>
      </c>
      <c r="H30" s="3">
        <f t="shared" si="6"/>
        <v>0.435127407523329</v>
      </c>
      <c r="I30" s="3">
        <f t="shared" si="6"/>
        <v>0.426264788344299</v>
      </c>
      <c r="J30" s="3">
        <f t="shared" si="6"/>
        <v>0.417786805060186</v>
      </c>
      <c r="K30" s="3">
        <f t="shared" si="6"/>
        <v>0.40966894980811</v>
      </c>
      <c r="L30" s="3">
        <f t="shared" si="6"/>
        <v>0.401888753514798</v>
      </c>
      <c r="M30" s="3">
        <f t="shared" si="6"/>
        <v>0.394425578209313</v>
      </c>
      <c r="N30" s="3">
        <f t="shared" si="6"/>
        <v>0.387260434216872</v>
      </c>
      <c r="O30" s="3">
        <f t="shared" si="6"/>
        <v>0.380375818824262</v>
      </c>
      <c r="P30" s="3">
        <f t="shared" si="6"/>
        <v>0.37375557353106</v>
      </c>
      <c r="Q30" s="3">
        <f t="shared" si="6"/>
        <v>0.35700883923896</v>
      </c>
      <c r="R30" s="3">
        <f t="shared" si="6"/>
        <v>0.340769675105183</v>
      </c>
      <c r="S30" s="3">
        <f t="shared" si="5"/>
        <v>0.325015349988993</v>
      </c>
      <c r="T30" s="3">
        <f t="shared" si="5"/>
        <v>0.309724470114335</v>
      </c>
      <c r="U30" s="3">
        <f t="shared" si="5"/>
        <v>0.2948768821423</v>
      </c>
      <c r="V30" s="3">
        <f t="shared" si="5"/>
        <v>0.275078018322121</v>
      </c>
      <c r="W30" s="3">
        <f t="shared" si="5"/>
        <v>0.255915775896277</v>
      </c>
      <c r="X30" s="3">
        <f t="shared" si="5"/>
        <v>0.237359935402332</v>
      </c>
      <c r="Y30" s="3">
        <f t="shared" si="5"/>
        <v>0.219382160216076</v>
      </c>
      <c r="Z30" s="3">
        <f t="shared" si="5"/>
        <v>0.201955852161653</v>
      </c>
      <c r="AA30" s="3">
        <f t="shared" ref="AA30:AJ82" si="8">(($B30-$AJ$2)*((AA$2-$AJ$2)/($B$2-$AJ$2)))+$AJ$2</f>
        <v>0.183053992826447</v>
      </c>
      <c r="AB30" s="3">
        <f t="shared" si="8"/>
        <v>0.164527788544069</v>
      </c>
      <c r="AC30" s="3">
        <f t="shared" si="8"/>
        <v>0.146366150862435</v>
      </c>
      <c r="AD30" s="3">
        <f t="shared" si="8"/>
        <v>0.12855842348404</v>
      </c>
      <c r="AE30" s="3">
        <f t="shared" si="8"/>
        <v>0.111094361415943</v>
      </c>
      <c r="AF30" s="3">
        <f t="shared" si="8"/>
        <v>0.103800901439783</v>
      </c>
      <c r="AG30" s="3">
        <f t="shared" si="8"/>
        <v>0.0966203201659743</v>
      </c>
      <c r="AH30" s="3">
        <f t="shared" si="8"/>
        <v>0.0895500172320726</v>
      </c>
      <c r="AI30" s="3">
        <f t="shared" si="8"/>
        <v>0.0825874715389673</v>
      </c>
      <c r="AJ30" s="3">
        <f t="shared" si="8"/>
        <v>0.0757302382536226</v>
      </c>
    </row>
    <row r="31" spans="1:36">
      <c r="A31" t="str">
        <f>"recycling_archetype_"&amp;TEXT(ROUND(Table26[[#This Row],[2016]],3),"0.000")</f>
        <v>recycling_archetype_0.470</v>
      </c>
      <c r="B31" s="3">
        <f t="shared" si="2"/>
        <v>0.47</v>
      </c>
      <c r="C31" s="3">
        <f t="shared" si="6"/>
        <v>0.47</v>
      </c>
      <c r="D31" s="3">
        <f t="shared" si="6"/>
        <v>0.47</v>
      </c>
      <c r="E31" s="3">
        <f t="shared" si="6"/>
        <v>0.459437896758497</v>
      </c>
      <c r="F31" s="3">
        <f t="shared" si="6"/>
        <v>0.449377756899651</v>
      </c>
      <c r="G31" s="3">
        <f t="shared" si="6"/>
        <v>0.439784627321861</v>
      </c>
      <c r="H31" s="3">
        <f t="shared" si="6"/>
        <v>0.430626726483802</v>
      </c>
      <c r="I31" s="3">
        <f t="shared" si="6"/>
        <v>0.421875092658888</v>
      </c>
      <c r="J31" s="3">
        <f t="shared" si="6"/>
        <v>0.413503277986781</v>
      </c>
      <c r="K31" s="3">
        <f t="shared" si="6"/>
        <v>0.405487081513178</v>
      </c>
      <c r="L31" s="3">
        <f t="shared" si="6"/>
        <v>0.397804315541902</v>
      </c>
      <c r="M31" s="3">
        <f t="shared" si="6"/>
        <v>0.390434600548473</v>
      </c>
      <c r="N31" s="3">
        <f t="shared" si="6"/>
        <v>0.383359184663179</v>
      </c>
      <c r="O31" s="3">
        <f t="shared" si="6"/>
        <v>0.376560784356861</v>
      </c>
      <c r="P31" s="3">
        <f t="shared" si="6"/>
        <v>0.370023443479764</v>
      </c>
      <c r="Q31" s="3">
        <f t="shared" si="6"/>
        <v>0.353486426224823</v>
      </c>
      <c r="R31" s="3">
        <f t="shared" si="6"/>
        <v>0.337450622897319</v>
      </c>
      <c r="S31" s="3">
        <f t="shared" si="5"/>
        <v>0.321893587015446</v>
      </c>
      <c r="T31" s="3">
        <f t="shared" si="5"/>
        <v>0.306794192714448</v>
      </c>
      <c r="U31" s="3">
        <f t="shared" si="5"/>
        <v>0.292132539032892</v>
      </c>
      <c r="V31" s="3">
        <f t="shared" si="5"/>
        <v>0.272581613645787</v>
      </c>
      <c r="W31" s="3">
        <f t="shared" si="5"/>
        <v>0.253659337331351</v>
      </c>
      <c r="X31" s="3">
        <f t="shared" si="5"/>
        <v>0.235335869061298</v>
      </c>
      <c r="Y31" s="3">
        <f t="shared" si="5"/>
        <v>0.217583227067042</v>
      </c>
      <c r="Z31" s="3">
        <f t="shared" si="5"/>
        <v>0.200375146258007</v>
      </c>
      <c r="AA31" s="3">
        <f t="shared" si="8"/>
        <v>0.18170999229278</v>
      </c>
      <c r="AB31" s="3">
        <f t="shared" si="8"/>
        <v>0.163415789104116</v>
      </c>
      <c r="AC31" s="3">
        <f t="shared" si="8"/>
        <v>0.145481587099081</v>
      </c>
      <c r="AD31" s="3">
        <f t="shared" si="8"/>
        <v>0.127896863427509</v>
      </c>
      <c r="AE31" s="3">
        <f t="shared" si="8"/>
        <v>0.110651501393089</v>
      </c>
      <c r="AF31" s="3">
        <f t="shared" si="8"/>
        <v>0.103449376407392</v>
      </c>
      <c r="AG31" s="3">
        <f t="shared" si="8"/>
        <v>0.0963587165596684</v>
      </c>
      <c r="AH31" s="3">
        <f t="shared" si="8"/>
        <v>0.089376954051455</v>
      </c>
      <c r="AI31" s="3">
        <f t="shared" si="8"/>
        <v>0.0825015993550164</v>
      </c>
      <c r="AJ31" s="3">
        <f t="shared" si="8"/>
        <v>0.0757302382536226</v>
      </c>
    </row>
    <row r="32" spans="1:36">
      <c r="A32" t="str">
        <f>"recycling_archetype_"&amp;TEXT(ROUND(Table26[[#This Row],[2016]],3),"0.000")</f>
        <v>recycling_archetype_0.465</v>
      </c>
      <c r="B32" s="3">
        <f t="shared" si="2"/>
        <v>0.465</v>
      </c>
      <c r="C32" s="3">
        <f t="shared" si="6"/>
        <v>0.465</v>
      </c>
      <c r="D32" s="3">
        <f t="shared" si="6"/>
        <v>0.465</v>
      </c>
      <c r="E32" s="3">
        <f t="shared" si="6"/>
        <v>0.454571841892847</v>
      </c>
      <c r="F32" s="3">
        <f t="shared" si="6"/>
        <v>0.44463928143312</v>
      </c>
      <c r="G32" s="3">
        <f t="shared" si="6"/>
        <v>0.435167808783004</v>
      </c>
      <c r="H32" s="3">
        <f t="shared" si="6"/>
        <v>0.426126045444275</v>
      </c>
      <c r="I32" s="3">
        <f t="shared" si="6"/>
        <v>0.417485396973476</v>
      </c>
      <c r="J32" s="3">
        <f t="shared" si="6"/>
        <v>0.409219750913375</v>
      </c>
      <c r="K32" s="3">
        <f t="shared" si="6"/>
        <v>0.401305213218245</v>
      </c>
      <c r="L32" s="3">
        <f t="shared" si="6"/>
        <v>0.393719877569007</v>
      </c>
      <c r="M32" s="3">
        <f t="shared" si="6"/>
        <v>0.386443622887634</v>
      </c>
      <c r="N32" s="3">
        <f t="shared" si="6"/>
        <v>0.379457935109485</v>
      </c>
      <c r="O32" s="3">
        <f t="shared" si="6"/>
        <v>0.372745749889461</v>
      </c>
      <c r="P32" s="3">
        <f t="shared" si="6"/>
        <v>0.366291313428469</v>
      </c>
      <c r="Q32" s="3">
        <f t="shared" si="6"/>
        <v>0.349964013210687</v>
      </c>
      <c r="R32" s="3">
        <f t="shared" si="6"/>
        <v>0.334131570689455</v>
      </c>
      <c r="S32" s="3">
        <f t="shared" si="5"/>
        <v>0.318771824041898</v>
      </c>
      <c r="T32" s="3">
        <f t="shared" si="5"/>
        <v>0.303863915314561</v>
      </c>
      <c r="U32" s="3">
        <f t="shared" si="5"/>
        <v>0.289388195923485</v>
      </c>
      <c r="V32" s="3">
        <f t="shared" si="5"/>
        <v>0.270085208969453</v>
      </c>
      <c r="W32" s="3">
        <f t="shared" si="5"/>
        <v>0.251402898766425</v>
      </c>
      <c r="X32" s="3">
        <f t="shared" si="5"/>
        <v>0.233311802720264</v>
      </c>
      <c r="Y32" s="3">
        <f t="shared" si="5"/>
        <v>0.215784293918009</v>
      </c>
      <c r="Z32" s="3">
        <f t="shared" si="5"/>
        <v>0.19879444035436</v>
      </c>
      <c r="AA32" s="3">
        <f t="shared" si="8"/>
        <v>0.180365991759113</v>
      </c>
      <c r="AB32" s="3">
        <f t="shared" si="8"/>
        <v>0.162303789664162</v>
      </c>
      <c r="AC32" s="3">
        <f t="shared" si="8"/>
        <v>0.144597023335726</v>
      </c>
      <c r="AD32" s="3">
        <f t="shared" si="8"/>
        <v>0.127235303370978</v>
      </c>
      <c r="AE32" s="3">
        <f t="shared" si="8"/>
        <v>0.110208641370236</v>
      </c>
      <c r="AF32" s="3">
        <f t="shared" si="8"/>
        <v>0.103097851375001</v>
      </c>
      <c r="AG32" s="3">
        <f t="shared" si="8"/>
        <v>0.0960971129533625</v>
      </c>
      <c r="AH32" s="3">
        <f t="shared" si="8"/>
        <v>0.0892038908708375</v>
      </c>
      <c r="AI32" s="3">
        <f t="shared" si="8"/>
        <v>0.0824157271710655</v>
      </c>
      <c r="AJ32" s="3">
        <f t="shared" si="8"/>
        <v>0.0757302382536226</v>
      </c>
    </row>
    <row r="33" spans="1:36">
      <c r="A33" t="str">
        <f>"recycling_archetype_"&amp;TEXT(ROUND(Table26[[#This Row],[2016]],3),"0.000")</f>
        <v>recycling_archetype_0.460</v>
      </c>
      <c r="B33" s="3">
        <f t="shared" si="2"/>
        <v>0.46</v>
      </c>
      <c r="C33" s="3">
        <f t="shared" si="6"/>
        <v>0.46</v>
      </c>
      <c r="D33" s="3">
        <f t="shared" si="6"/>
        <v>0.46</v>
      </c>
      <c r="E33" s="3">
        <f t="shared" si="6"/>
        <v>0.449705787027198</v>
      </c>
      <c r="F33" s="3">
        <f t="shared" si="6"/>
        <v>0.439900805966589</v>
      </c>
      <c r="G33" s="3">
        <f t="shared" si="6"/>
        <v>0.430550990244148</v>
      </c>
      <c r="H33" s="3">
        <f t="shared" si="6"/>
        <v>0.421625364404747</v>
      </c>
      <c r="I33" s="3">
        <f t="shared" si="6"/>
        <v>0.413095701288064</v>
      </c>
      <c r="J33" s="3">
        <f t="shared" si="6"/>
        <v>0.40493622383997</v>
      </c>
      <c r="K33" s="3">
        <f t="shared" si="6"/>
        <v>0.397123344923313</v>
      </c>
      <c r="L33" s="3">
        <f t="shared" si="6"/>
        <v>0.389635439596111</v>
      </c>
      <c r="M33" s="3">
        <f t="shared" si="6"/>
        <v>0.382452645226795</v>
      </c>
      <c r="N33" s="3">
        <f t="shared" si="6"/>
        <v>0.375556685555792</v>
      </c>
      <c r="O33" s="3">
        <f t="shared" si="6"/>
        <v>0.36893071542206</v>
      </c>
      <c r="P33" s="3">
        <f t="shared" si="6"/>
        <v>0.362559183377174</v>
      </c>
      <c r="Q33" s="3">
        <f t="shared" si="6"/>
        <v>0.34644160019655</v>
      </c>
      <c r="R33" s="3">
        <f t="shared" si="6"/>
        <v>0.33081251848159</v>
      </c>
      <c r="S33" s="3">
        <f t="shared" si="5"/>
        <v>0.315650061068351</v>
      </c>
      <c r="T33" s="3">
        <f t="shared" si="5"/>
        <v>0.300933637914674</v>
      </c>
      <c r="U33" s="3">
        <f t="shared" si="5"/>
        <v>0.286643852814078</v>
      </c>
      <c r="V33" s="3">
        <f t="shared" si="5"/>
        <v>0.267588804293119</v>
      </c>
      <c r="W33" s="3">
        <f t="shared" si="5"/>
        <v>0.249146460201499</v>
      </c>
      <c r="X33" s="3">
        <f t="shared" si="5"/>
        <v>0.23128773637923</v>
      </c>
      <c r="Y33" s="3">
        <f t="shared" si="5"/>
        <v>0.213985360768975</v>
      </c>
      <c r="Z33" s="3">
        <f t="shared" si="5"/>
        <v>0.197213734450713</v>
      </c>
      <c r="AA33" s="3">
        <f t="shared" si="8"/>
        <v>0.179021991225447</v>
      </c>
      <c r="AB33" s="3">
        <f t="shared" si="8"/>
        <v>0.161191790224209</v>
      </c>
      <c r="AC33" s="3">
        <f t="shared" si="8"/>
        <v>0.143712459572371</v>
      </c>
      <c r="AD33" s="3">
        <f t="shared" si="8"/>
        <v>0.126573743314447</v>
      </c>
      <c r="AE33" s="3">
        <f t="shared" si="8"/>
        <v>0.109765781347383</v>
      </c>
      <c r="AF33" s="3">
        <f t="shared" si="8"/>
        <v>0.102746326342609</v>
      </c>
      <c r="AG33" s="3">
        <f t="shared" si="8"/>
        <v>0.0958355093470565</v>
      </c>
      <c r="AH33" s="3">
        <f t="shared" si="8"/>
        <v>0.0890308276902199</v>
      </c>
      <c r="AI33" s="3">
        <f t="shared" si="8"/>
        <v>0.0823298549871146</v>
      </c>
      <c r="AJ33" s="3">
        <f t="shared" si="8"/>
        <v>0.0757302382536226</v>
      </c>
    </row>
    <row r="34" spans="1:36">
      <c r="A34" t="str">
        <f>"recycling_archetype_"&amp;TEXT(ROUND(Table26[[#This Row],[2016]],3),"0.000")</f>
        <v>recycling_archetype_0.455</v>
      </c>
      <c r="B34" s="3">
        <f t="shared" si="2"/>
        <v>0.455</v>
      </c>
      <c r="C34" s="3">
        <f t="shared" si="6"/>
        <v>0.455</v>
      </c>
      <c r="D34" s="3">
        <f t="shared" si="6"/>
        <v>0.455</v>
      </c>
      <c r="E34" s="3">
        <f t="shared" si="6"/>
        <v>0.444839732161549</v>
      </c>
      <c r="F34" s="3">
        <f t="shared" si="6"/>
        <v>0.435162330500059</v>
      </c>
      <c r="G34" s="3">
        <f t="shared" si="6"/>
        <v>0.425934171705291</v>
      </c>
      <c r="H34" s="3">
        <f t="shared" si="6"/>
        <v>0.41712468336522</v>
      </c>
      <c r="I34" s="3">
        <f t="shared" si="6"/>
        <v>0.408706005602653</v>
      </c>
      <c r="J34" s="3">
        <f t="shared" si="6"/>
        <v>0.400652696766564</v>
      </c>
      <c r="K34" s="3">
        <f t="shared" si="6"/>
        <v>0.39294147662838</v>
      </c>
      <c r="L34" s="3">
        <f t="shared" si="6"/>
        <v>0.385551001623216</v>
      </c>
      <c r="M34" s="3">
        <f t="shared" si="6"/>
        <v>0.378461667565955</v>
      </c>
      <c r="N34" s="3">
        <f t="shared" si="6"/>
        <v>0.371655436002099</v>
      </c>
      <c r="O34" s="3">
        <f t="shared" si="6"/>
        <v>0.36511568095466</v>
      </c>
      <c r="P34" s="3">
        <f t="shared" si="6"/>
        <v>0.358827053325878</v>
      </c>
      <c r="Q34" s="3">
        <f t="shared" si="6"/>
        <v>0.342919187182413</v>
      </c>
      <c r="R34" s="3">
        <f t="shared" si="6"/>
        <v>0.327493466273726</v>
      </c>
      <c r="S34" s="3">
        <f t="shared" si="5"/>
        <v>0.312528298094804</v>
      </c>
      <c r="T34" s="3">
        <f t="shared" si="5"/>
        <v>0.298003360514788</v>
      </c>
      <c r="U34" s="3">
        <f t="shared" si="5"/>
        <v>0.28389950970467</v>
      </c>
      <c r="V34" s="3">
        <f t="shared" si="5"/>
        <v>0.265092399616785</v>
      </c>
      <c r="W34" s="3">
        <f t="shared" si="5"/>
        <v>0.246890021636573</v>
      </c>
      <c r="X34" s="3">
        <f t="shared" si="5"/>
        <v>0.229263670038195</v>
      </c>
      <c r="Y34" s="3">
        <f t="shared" si="5"/>
        <v>0.212186427619942</v>
      </c>
      <c r="Z34" s="3">
        <f t="shared" si="5"/>
        <v>0.195633028547066</v>
      </c>
      <c r="AA34" s="3">
        <f t="shared" si="8"/>
        <v>0.17767799069178</v>
      </c>
      <c r="AB34" s="3">
        <f t="shared" si="8"/>
        <v>0.160079790784256</v>
      </c>
      <c r="AC34" s="3">
        <f t="shared" si="8"/>
        <v>0.142827895809017</v>
      </c>
      <c r="AD34" s="3">
        <f t="shared" si="8"/>
        <v>0.125912183257915</v>
      </c>
      <c r="AE34" s="3">
        <f t="shared" si="8"/>
        <v>0.10932292132453</v>
      </c>
      <c r="AF34" s="3">
        <f t="shared" si="8"/>
        <v>0.102394801310218</v>
      </c>
      <c r="AG34" s="3">
        <f t="shared" si="8"/>
        <v>0.0955739057407506</v>
      </c>
      <c r="AH34" s="3">
        <f t="shared" si="8"/>
        <v>0.0888577645096023</v>
      </c>
      <c r="AI34" s="3">
        <f t="shared" si="8"/>
        <v>0.0822439828031636</v>
      </c>
      <c r="AJ34" s="3">
        <f t="shared" si="8"/>
        <v>0.0757302382536226</v>
      </c>
    </row>
    <row r="35" spans="1:36">
      <c r="A35" t="str">
        <f>"recycling_archetype_"&amp;TEXT(ROUND(Table26[[#This Row],[2016]],3),"0.000")</f>
        <v>recycling_archetype_0.450</v>
      </c>
      <c r="B35" s="3">
        <f t="shared" si="2"/>
        <v>0.45</v>
      </c>
      <c r="C35" s="3">
        <f t="shared" si="6"/>
        <v>0.45</v>
      </c>
      <c r="D35" s="3">
        <f t="shared" si="6"/>
        <v>0.45</v>
      </c>
      <c r="E35" s="3">
        <f t="shared" si="6"/>
        <v>0.439973677295899</v>
      </c>
      <c r="F35" s="3">
        <f t="shared" si="6"/>
        <v>0.430423855033528</v>
      </c>
      <c r="G35" s="3">
        <f t="shared" si="6"/>
        <v>0.421317353166435</v>
      </c>
      <c r="H35" s="3">
        <f t="shared" si="6"/>
        <v>0.412624002325692</v>
      </c>
      <c r="I35" s="3">
        <f t="shared" si="6"/>
        <v>0.404316309917241</v>
      </c>
      <c r="J35" s="3">
        <f t="shared" si="6"/>
        <v>0.396369169693158</v>
      </c>
      <c r="K35" s="3">
        <f t="shared" si="6"/>
        <v>0.388759608333448</v>
      </c>
      <c r="L35" s="3">
        <f t="shared" si="6"/>
        <v>0.38146656365032</v>
      </c>
      <c r="M35" s="3">
        <f t="shared" si="6"/>
        <v>0.374470689905116</v>
      </c>
      <c r="N35" s="3">
        <f t="shared" si="6"/>
        <v>0.367754186448406</v>
      </c>
      <c r="O35" s="3">
        <f t="shared" si="6"/>
        <v>0.36130064648726</v>
      </c>
      <c r="P35" s="3">
        <f t="shared" si="6"/>
        <v>0.355094923274583</v>
      </c>
      <c r="Q35" s="3">
        <f t="shared" si="6"/>
        <v>0.339396774168277</v>
      </c>
      <c r="R35" s="3">
        <f t="shared" si="6"/>
        <v>0.324174414065861</v>
      </c>
      <c r="S35" s="3">
        <f t="shared" si="5"/>
        <v>0.309406535121257</v>
      </c>
      <c r="T35" s="3">
        <f t="shared" si="5"/>
        <v>0.295073083114901</v>
      </c>
      <c r="U35" s="3">
        <f t="shared" si="5"/>
        <v>0.281155166595263</v>
      </c>
      <c r="V35" s="3">
        <f t="shared" si="5"/>
        <v>0.26259599494045</v>
      </c>
      <c r="W35" s="3">
        <f t="shared" si="5"/>
        <v>0.244633583071647</v>
      </c>
      <c r="X35" s="3">
        <f t="shared" si="5"/>
        <v>0.227239603697161</v>
      </c>
      <c r="Y35" s="3">
        <f t="shared" si="5"/>
        <v>0.210387494470908</v>
      </c>
      <c r="Z35" s="3">
        <f t="shared" si="5"/>
        <v>0.194052322643419</v>
      </c>
      <c r="AA35" s="3">
        <f t="shared" si="8"/>
        <v>0.176333990158113</v>
      </c>
      <c r="AB35" s="3">
        <f t="shared" si="8"/>
        <v>0.158967791344303</v>
      </c>
      <c r="AC35" s="3">
        <f t="shared" si="8"/>
        <v>0.141943332045662</v>
      </c>
      <c r="AD35" s="3">
        <f t="shared" si="8"/>
        <v>0.125250623201384</v>
      </c>
      <c r="AE35" s="3">
        <f t="shared" si="8"/>
        <v>0.108880061301676</v>
      </c>
      <c r="AF35" s="3">
        <f t="shared" si="8"/>
        <v>0.102043276277826</v>
      </c>
      <c r="AG35" s="3">
        <f t="shared" si="8"/>
        <v>0.0953123021344447</v>
      </c>
      <c r="AH35" s="3">
        <f t="shared" si="8"/>
        <v>0.0886847013289847</v>
      </c>
      <c r="AI35" s="3">
        <f t="shared" si="8"/>
        <v>0.0821581106192127</v>
      </c>
      <c r="AJ35" s="3">
        <f t="shared" si="8"/>
        <v>0.0757302382536226</v>
      </c>
    </row>
    <row r="36" spans="1:36">
      <c r="A36" t="str">
        <f>"recycling_archetype_"&amp;TEXT(ROUND(Table26[[#This Row],[2016]],3),"0.000")</f>
        <v>recycling_archetype_0.445</v>
      </c>
      <c r="B36" s="3">
        <f t="shared" si="2"/>
        <v>0.445</v>
      </c>
      <c r="C36" s="3">
        <f t="shared" si="6"/>
        <v>0.445</v>
      </c>
      <c r="D36" s="3">
        <f t="shared" si="6"/>
        <v>0.445</v>
      </c>
      <c r="E36" s="3">
        <f t="shared" si="6"/>
        <v>0.43510762243025</v>
      </c>
      <c r="F36" s="3">
        <f t="shared" si="6"/>
        <v>0.425685379566997</v>
      </c>
      <c r="G36" s="3">
        <f t="shared" si="6"/>
        <v>0.416700534627578</v>
      </c>
      <c r="H36" s="3">
        <f t="shared" si="6"/>
        <v>0.408123321286165</v>
      </c>
      <c r="I36" s="3">
        <f t="shared" si="6"/>
        <v>0.39992661423183</v>
      </c>
      <c r="J36" s="3">
        <f t="shared" si="6"/>
        <v>0.392085642619753</v>
      </c>
      <c r="K36" s="3">
        <f t="shared" si="6"/>
        <v>0.384577740038515</v>
      </c>
      <c r="L36" s="3">
        <f t="shared" si="6"/>
        <v>0.377382125677425</v>
      </c>
      <c r="M36" s="3">
        <f t="shared" si="6"/>
        <v>0.370479712244277</v>
      </c>
      <c r="N36" s="3">
        <f t="shared" si="6"/>
        <v>0.363852936894713</v>
      </c>
      <c r="O36" s="3">
        <f t="shared" si="6"/>
        <v>0.357485612019859</v>
      </c>
      <c r="P36" s="3">
        <f t="shared" si="6"/>
        <v>0.351362793223288</v>
      </c>
      <c r="Q36" s="3">
        <f t="shared" si="6"/>
        <v>0.33587436115414</v>
      </c>
      <c r="R36" s="3">
        <f t="shared" si="6"/>
        <v>0.320855361857997</v>
      </c>
      <c r="S36" s="3">
        <f t="shared" si="5"/>
        <v>0.30628477214771</v>
      </c>
      <c r="T36" s="3">
        <f t="shared" si="5"/>
        <v>0.292142805715014</v>
      </c>
      <c r="U36" s="3">
        <f t="shared" si="5"/>
        <v>0.278410823485856</v>
      </c>
      <c r="V36" s="3">
        <f t="shared" si="5"/>
        <v>0.260099590264116</v>
      </c>
      <c r="W36" s="3">
        <f t="shared" si="5"/>
        <v>0.242377144506722</v>
      </c>
      <c r="X36" s="3">
        <f t="shared" si="5"/>
        <v>0.225215537356127</v>
      </c>
      <c r="Y36" s="3">
        <f t="shared" si="5"/>
        <v>0.208588561321875</v>
      </c>
      <c r="Z36" s="3">
        <f t="shared" si="5"/>
        <v>0.192471616739773</v>
      </c>
      <c r="AA36" s="3">
        <f t="shared" si="8"/>
        <v>0.174989989624446</v>
      </c>
      <c r="AB36" s="3">
        <f t="shared" si="8"/>
        <v>0.15785579190435</v>
      </c>
      <c r="AC36" s="3">
        <f t="shared" si="8"/>
        <v>0.141058768282308</v>
      </c>
      <c r="AD36" s="3">
        <f t="shared" si="8"/>
        <v>0.124589063144853</v>
      </c>
      <c r="AE36" s="3">
        <f t="shared" si="8"/>
        <v>0.108437201278823</v>
      </c>
      <c r="AF36" s="3">
        <f t="shared" si="8"/>
        <v>0.101691751245435</v>
      </c>
      <c r="AG36" s="3">
        <f t="shared" si="8"/>
        <v>0.0950506985281388</v>
      </c>
      <c r="AH36" s="3">
        <f t="shared" si="8"/>
        <v>0.0885116381483672</v>
      </c>
      <c r="AI36" s="3">
        <f t="shared" si="8"/>
        <v>0.0820722384352618</v>
      </c>
      <c r="AJ36" s="3">
        <f t="shared" si="8"/>
        <v>0.0757302382536226</v>
      </c>
    </row>
    <row r="37" spans="1:36">
      <c r="A37" t="str">
        <f>"recycling_archetype_"&amp;TEXT(ROUND(Table26[[#This Row],[2016]],3),"0.000")</f>
        <v>recycling_archetype_0.440</v>
      </c>
      <c r="B37" s="3">
        <f t="shared" si="2"/>
        <v>0.44</v>
      </c>
      <c r="C37" s="3">
        <f t="shared" si="6"/>
        <v>0.44</v>
      </c>
      <c r="D37" s="3">
        <f t="shared" si="6"/>
        <v>0.44</v>
      </c>
      <c r="E37" s="3">
        <f t="shared" si="6"/>
        <v>0.430241567564601</v>
      </c>
      <c r="F37" s="3">
        <f t="shared" si="6"/>
        <v>0.420946904100466</v>
      </c>
      <c r="G37" s="3">
        <f t="shared" si="6"/>
        <v>0.412083716088722</v>
      </c>
      <c r="H37" s="3">
        <f t="shared" si="6"/>
        <v>0.403622640246638</v>
      </c>
      <c r="I37" s="3">
        <f t="shared" si="6"/>
        <v>0.395536918546418</v>
      </c>
      <c r="J37" s="3">
        <f t="shared" si="6"/>
        <v>0.387802115546347</v>
      </c>
      <c r="K37" s="3">
        <f t="shared" si="6"/>
        <v>0.380395871743583</v>
      </c>
      <c r="L37" s="3">
        <f t="shared" si="6"/>
        <v>0.373297687704529</v>
      </c>
      <c r="M37" s="3">
        <f t="shared" si="6"/>
        <v>0.366488734583437</v>
      </c>
      <c r="N37" s="3">
        <f t="shared" si="6"/>
        <v>0.359951687341019</v>
      </c>
      <c r="O37" s="3">
        <f t="shared" si="6"/>
        <v>0.353670577552459</v>
      </c>
      <c r="P37" s="3">
        <f t="shared" si="6"/>
        <v>0.347630663171992</v>
      </c>
      <c r="Q37" s="3">
        <f t="shared" si="6"/>
        <v>0.332351948140003</v>
      </c>
      <c r="R37" s="3">
        <f t="shared" si="6"/>
        <v>0.317536309650133</v>
      </c>
      <c r="S37" s="3">
        <f t="shared" si="5"/>
        <v>0.303163009174162</v>
      </c>
      <c r="T37" s="3">
        <f t="shared" si="5"/>
        <v>0.289212528315128</v>
      </c>
      <c r="U37" s="3">
        <f t="shared" si="5"/>
        <v>0.275666480376448</v>
      </c>
      <c r="V37" s="3">
        <f t="shared" si="5"/>
        <v>0.257603185587782</v>
      </c>
      <c r="W37" s="3">
        <f t="shared" si="5"/>
        <v>0.240120705941796</v>
      </c>
      <c r="X37" s="3">
        <f t="shared" si="5"/>
        <v>0.223191471015093</v>
      </c>
      <c r="Y37" s="3">
        <f t="shared" si="5"/>
        <v>0.206789628172841</v>
      </c>
      <c r="Z37" s="3">
        <f t="shared" si="5"/>
        <v>0.190890910836126</v>
      </c>
      <c r="AA37" s="3">
        <f t="shared" si="8"/>
        <v>0.17364598909078</v>
      </c>
      <c r="AB37" s="3">
        <f t="shared" si="8"/>
        <v>0.156743792464396</v>
      </c>
      <c r="AC37" s="3">
        <f t="shared" si="8"/>
        <v>0.140174204518953</v>
      </c>
      <c r="AD37" s="3">
        <f t="shared" si="8"/>
        <v>0.123927503088322</v>
      </c>
      <c r="AE37" s="3">
        <f t="shared" si="8"/>
        <v>0.10799434125597</v>
      </c>
      <c r="AF37" s="3">
        <f t="shared" si="8"/>
        <v>0.101340226213044</v>
      </c>
      <c r="AG37" s="3">
        <f t="shared" si="8"/>
        <v>0.0947890949218329</v>
      </c>
      <c r="AH37" s="3">
        <f t="shared" si="8"/>
        <v>0.0883385749677496</v>
      </c>
      <c r="AI37" s="3">
        <f t="shared" si="8"/>
        <v>0.0819863662513109</v>
      </c>
      <c r="AJ37" s="3">
        <f t="shared" si="8"/>
        <v>0.0757302382536226</v>
      </c>
    </row>
    <row r="38" spans="1:36">
      <c r="A38" t="str">
        <f>"recycling_archetype_"&amp;TEXT(ROUND(Table26[[#This Row],[2016]],3),"0.000")</f>
        <v>recycling_archetype_0.435</v>
      </c>
      <c r="B38" s="3">
        <f t="shared" si="2"/>
        <v>0.435</v>
      </c>
      <c r="C38" s="3">
        <f t="shared" si="6"/>
        <v>0.435</v>
      </c>
      <c r="D38" s="3">
        <f t="shared" si="6"/>
        <v>0.435</v>
      </c>
      <c r="E38" s="3">
        <f t="shared" si="6"/>
        <v>0.425375512698951</v>
      </c>
      <c r="F38" s="3">
        <f t="shared" si="6"/>
        <v>0.416208428633935</v>
      </c>
      <c r="G38" s="3">
        <f t="shared" si="6"/>
        <v>0.407466897549865</v>
      </c>
      <c r="H38" s="3">
        <f t="shared" si="6"/>
        <v>0.39912195920711</v>
      </c>
      <c r="I38" s="3">
        <f t="shared" si="6"/>
        <v>0.391147222861007</v>
      </c>
      <c r="J38" s="3">
        <f t="shared" si="6"/>
        <v>0.383518588472941</v>
      </c>
      <c r="K38" s="3">
        <f t="shared" si="6"/>
        <v>0.37621400344865</v>
      </c>
      <c r="L38" s="3">
        <f t="shared" si="6"/>
        <v>0.369213249731633</v>
      </c>
      <c r="M38" s="3">
        <f t="shared" si="6"/>
        <v>0.362497756922598</v>
      </c>
      <c r="N38" s="3">
        <f t="shared" si="6"/>
        <v>0.356050437787326</v>
      </c>
      <c r="O38" s="3">
        <f t="shared" si="6"/>
        <v>0.349855543085058</v>
      </c>
      <c r="P38" s="3">
        <f t="shared" si="6"/>
        <v>0.343898533120697</v>
      </c>
      <c r="Q38" s="3">
        <f t="shared" si="6"/>
        <v>0.328829535125867</v>
      </c>
      <c r="R38" s="3">
        <f t="shared" si="6"/>
        <v>0.314217257442268</v>
      </c>
      <c r="S38" s="3">
        <f t="shared" si="5"/>
        <v>0.300041246200615</v>
      </c>
      <c r="T38" s="3">
        <f t="shared" si="5"/>
        <v>0.286282250915241</v>
      </c>
      <c r="U38" s="3">
        <f t="shared" si="5"/>
        <v>0.272922137267041</v>
      </c>
      <c r="V38" s="3">
        <f t="shared" si="5"/>
        <v>0.255106780911448</v>
      </c>
      <c r="W38" s="3">
        <f t="shared" si="5"/>
        <v>0.23786426737687</v>
      </c>
      <c r="X38" s="3">
        <f t="shared" si="5"/>
        <v>0.221167404674059</v>
      </c>
      <c r="Y38" s="3">
        <f t="shared" si="5"/>
        <v>0.204990695023808</v>
      </c>
      <c r="Z38" s="3">
        <f t="shared" si="5"/>
        <v>0.189310204932479</v>
      </c>
      <c r="AA38" s="3">
        <f t="shared" si="8"/>
        <v>0.172301988557113</v>
      </c>
      <c r="AB38" s="3">
        <f t="shared" si="8"/>
        <v>0.155631793024443</v>
      </c>
      <c r="AC38" s="3">
        <f t="shared" si="8"/>
        <v>0.139289640755599</v>
      </c>
      <c r="AD38" s="3">
        <f t="shared" si="8"/>
        <v>0.123265943031791</v>
      </c>
      <c r="AE38" s="3">
        <f t="shared" si="8"/>
        <v>0.107551481233117</v>
      </c>
      <c r="AF38" s="3">
        <f t="shared" si="8"/>
        <v>0.100988701180652</v>
      </c>
      <c r="AG38" s="3">
        <f t="shared" si="8"/>
        <v>0.0945274913155269</v>
      </c>
      <c r="AH38" s="3">
        <f t="shared" si="8"/>
        <v>0.088165511787132</v>
      </c>
      <c r="AI38" s="3">
        <f t="shared" si="8"/>
        <v>0.08190049406736</v>
      </c>
      <c r="AJ38" s="3">
        <f t="shared" si="8"/>
        <v>0.0757302382536226</v>
      </c>
    </row>
    <row r="39" spans="1:36">
      <c r="A39" t="str">
        <f>"recycling_archetype_"&amp;TEXT(ROUND(Table26[[#This Row],[2016]],3),"0.000")</f>
        <v>recycling_archetype_0.430</v>
      </c>
      <c r="B39" s="3">
        <f t="shared" si="2"/>
        <v>0.43</v>
      </c>
      <c r="C39" s="3">
        <f t="shared" si="6"/>
        <v>0.43</v>
      </c>
      <c r="D39" s="3">
        <f t="shared" si="6"/>
        <v>0.43</v>
      </c>
      <c r="E39" s="3">
        <f t="shared" si="6"/>
        <v>0.420509457833302</v>
      </c>
      <c r="F39" s="3">
        <f t="shared" si="6"/>
        <v>0.411469953167405</v>
      </c>
      <c r="G39" s="3">
        <f t="shared" si="6"/>
        <v>0.402850079011009</v>
      </c>
      <c r="H39" s="3">
        <f t="shared" si="6"/>
        <v>0.394621278167583</v>
      </c>
      <c r="I39" s="3">
        <f t="shared" si="6"/>
        <v>0.386757527175595</v>
      </c>
      <c r="J39" s="3">
        <f t="shared" si="6"/>
        <v>0.379235061399536</v>
      </c>
      <c r="K39" s="3">
        <f t="shared" si="6"/>
        <v>0.372032135153718</v>
      </c>
      <c r="L39" s="3">
        <f t="shared" si="6"/>
        <v>0.365128811758738</v>
      </c>
      <c r="M39" s="3">
        <f t="shared" si="6"/>
        <v>0.358506779261758</v>
      </c>
      <c r="N39" s="3">
        <f t="shared" si="6"/>
        <v>0.352149188233633</v>
      </c>
      <c r="O39" s="3">
        <f t="shared" si="6"/>
        <v>0.346040508617658</v>
      </c>
      <c r="P39" s="3">
        <f t="shared" si="6"/>
        <v>0.340166403069401</v>
      </c>
      <c r="Q39" s="3">
        <f t="shared" si="6"/>
        <v>0.32530712211173</v>
      </c>
      <c r="R39" s="3">
        <f t="shared" si="6"/>
        <v>0.310898205234404</v>
      </c>
      <c r="S39" s="3">
        <f t="shared" si="5"/>
        <v>0.296919483227068</v>
      </c>
      <c r="T39" s="3">
        <f t="shared" si="5"/>
        <v>0.283351973515354</v>
      </c>
      <c r="U39" s="3">
        <f t="shared" si="5"/>
        <v>0.270177794157634</v>
      </c>
      <c r="V39" s="3">
        <f t="shared" si="5"/>
        <v>0.252610376235114</v>
      </c>
      <c r="W39" s="3">
        <f t="shared" si="5"/>
        <v>0.235607828811944</v>
      </c>
      <c r="X39" s="3">
        <f t="shared" si="5"/>
        <v>0.219143338333025</v>
      </c>
      <c r="Y39" s="3">
        <f t="shared" si="5"/>
        <v>0.203191761874774</v>
      </c>
      <c r="Z39" s="3">
        <f t="shared" si="5"/>
        <v>0.187729499028832</v>
      </c>
      <c r="AA39" s="3">
        <f t="shared" si="8"/>
        <v>0.170957988023446</v>
      </c>
      <c r="AB39" s="3">
        <f t="shared" si="8"/>
        <v>0.15451979358449</v>
      </c>
      <c r="AC39" s="3">
        <f t="shared" si="8"/>
        <v>0.138405076992244</v>
      </c>
      <c r="AD39" s="3">
        <f t="shared" si="8"/>
        <v>0.12260438297526</v>
      </c>
      <c r="AE39" s="3">
        <f t="shared" si="8"/>
        <v>0.107108621210264</v>
      </c>
      <c r="AF39" s="3">
        <f t="shared" si="8"/>
        <v>0.100637176148261</v>
      </c>
      <c r="AG39" s="3">
        <f t="shared" si="8"/>
        <v>0.094265887709221</v>
      </c>
      <c r="AH39" s="3">
        <f t="shared" si="8"/>
        <v>0.0879924486065144</v>
      </c>
      <c r="AI39" s="3">
        <f t="shared" si="8"/>
        <v>0.0818146218834091</v>
      </c>
      <c r="AJ39" s="3">
        <f t="shared" si="8"/>
        <v>0.0757302382536226</v>
      </c>
    </row>
    <row r="40" spans="1:36">
      <c r="A40" t="str">
        <f>"recycling_archetype_"&amp;TEXT(ROUND(Table26[[#This Row],[2016]],3),"0.000")</f>
        <v>recycling_archetype_0.425</v>
      </c>
      <c r="B40" s="3">
        <f t="shared" si="2"/>
        <v>0.425</v>
      </c>
      <c r="C40" s="3">
        <f t="shared" si="6"/>
        <v>0.425</v>
      </c>
      <c r="D40" s="3">
        <f t="shared" si="6"/>
        <v>0.425</v>
      </c>
      <c r="E40" s="3">
        <f t="shared" si="6"/>
        <v>0.415643402967653</v>
      </c>
      <c r="F40" s="3">
        <f t="shared" si="6"/>
        <v>0.406731477700874</v>
      </c>
      <c r="G40" s="3">
        <f t="shared" si="6"/>
        <v>0.398233260472152</v>
      </c>
      <c r="H40" s="3">
        <f t="shared" si="6"/>
        <v>0.390120597128056</v>
      </c>
      <c r="I40" s="3">
        <f t="shared" si="6"/>
        <v>0.382367831490183</v>
      </c>
      <c r="J40" s="3">
        <f t="shared" si="6"/>
        <v>0.37495153432613</v>
      </c>
      <c r="K40" s="3">
        <f t="shared" si="6"/>
        <v>0.367850266858785</v>
      </c>
      <c r="L40" s="3">
        <f t="shared" si="6"/>
        <v>0.361044373785842</v>
      </c>
      <c r="M40" s="3">
        <f t="shared" si="6"/>
        <v>0.354515801600919</v>
      </c>
      <c r="N40" s="3">
        <f t="shared" si="6"/>
        <v>0.34824793867994</v>
      </c>
      <c r="O40" s="3">
        <f t="shared" si="6"/>
        <v>0.342225474150257</v>
      </c>
      <c r="P40" s="3">
        <f t="shared" si="6"/>
        <v>0.336434273018106</v>
      </c>
      <c r="Q40" s="3">
        <f t="shared" si="6"/>
        <v>0.321784709097593</v>
      </c>
      <c r="R40" s="3">
        <f t="shared" si="6"/>
        <v>0.307579153026539</v>
      </c>
      <c r="S40" s="3">
        <f t="shared" si="5"/>
        <v>0.293797720253521</v>
      </c>
      <c r="T40" s="3">
        <f t="shared" si="5"/>
        <v>0.280421696115467</v>
      </c>
      <c r="U40" s="3">
        <f t="shared" si="5"/>
        <v>0.267433451048226</v>
      </c>
      <c r="V40" s="3">
        <f t="shared" si="5"/>
        <v>0.25011397155878</v>
      </c>
      <c r="W40" s="3">
        <f t="shared" si="5"/>
        <v>0.233351390247018</v>
      </c>
      <c r="X40" s="3">
        <f t="shared" si="5"/>
        <v>0.217119271991991</v>
      </c>
      <c r="Y40" s="3">
        <f t="shared" si="5"/>
        <v>0.201392828725741</v>
      </c>
      <c r="Z40" s="3">
        <f t="shared" si="5"/>
        <v>0.186148793125185</v>
      </c>
      <c r="AA40" s="3">
        <f t="shared" si="8"/>
        <v>0.169613987489779</v>
      </c>
      <c r="AB40" s="3">
        <f t="shared" si="8"/>
        <v>0.153407794144537</v>
      </c>
      <c r="AC40" s="3">
        <f t="shared" si="8"/>
        <v>0.137520513228889</v>
      </c>
      <c r="AD40" s="3">
        <f t="shared" si="8"/>
        <v>0.121942822918729</v>
      </c>
      <c r="AE40" s="3">
        <f t="shared" si="8"/>
        <v>0.10666576118741</v>
      </c>
      <c r="AF40" s="3">
        <f t="shared" si="8"/>
        <v>0.100285651115869</v>
      </c>
      <c r="AG40" s="3">
        <f t="shared" si="8"/>
        <v>0.0940042841029151</v>
      </c>
      <c r="AH40" s="3">
        <f t="shared" si="8"/>
        <v>0.0878193854258968</v>
      </c>
      <c r="AI40" s="3">
        <f t="shared" si="8"/>
        <v>0.0817287496994581</v>
      </c>
      <c r="AJ40" s="3">
        <f t="shared" si="8"/>
        <v>0.0757302382536226</v>
      </c>
    </row>
    <row r="41" spans="1:36">
      <c r="A41" t="str">
        <f>"recycling_archetype_"&amp;TEXT(ROUND(Table26[[#This Row],[2016]],3),"0.000")</f>
        <v>recycling_archetype_0.420</v>
      </c>
      <c r="B41" s="3">
        <f t="shared" si="2"/>
        <v>0.42</v>
      </c>
      <c r="C41" s="3">
        <f t="shared" si="6"/>
        <v>0.42</v>
      </c>
      <c r="D41" s="3">
        <f t="shared" si="6"/>
        <v>0.42</v>
      </c>
      <c r="E41" s="3">
        <f t="shared" si="6"/>
        <v>0.410777348102003</v>
      </c>
      <c r="F41" s="3">
        <f t="shared" si="6"/>
        <v>0.401993002234343</v>
      </c>
      <c r="G41" s="3">
        <f t="shared" si="6"/>
        <v>0.393616441933296</v>
      </c>
      <c r="H41" s="3">
        <f t="shared" si="6"/>
        <v>0.385619916088528</v>
      </c>
      <c r="I41" s="3">
        <f t="shared" si="6"/>
        <v>0.377978135804772</v>
      </c>
      <c r="J41" s="3">
        <f t="shared" si="6"/>
        <v>0.370668007252725</v>
      </c>
      <c r="K41" s="3">
        <f t="shared" si="6"/>
        <v>0.363668398563853</v>
      </c>
      <c r="L41" s="3">
        <f t="shared" si="6"/>
        <v>0.356959935812947</v>
      </c>
      <c r="M41" s="3">
        <f t="shared" si="6"/>
        <v>0.35052482394008</v>
      </c>
      <c r="N41" s="3">
        <f t="shared" si="6"/>
        <v>0.344346689126246</v>
      </c>
      <c r="O41" s="3">
        <f t="shared" si="6"/>
        <v>0.338410439682857</v>
      </c>
      <c r="P41" s="3">
        <f t="shared" si="6"/>
        <v>0.332702142966811</v>
      </c>
      <c r="Q41" s="3">
        <f t="shared" si="6"/>
        <v>0.318262296083457</v>
      </c>
      <c r="R41" s="3">
        <f t="shared" si="6"/>
        <v>0.304260100818675</v>
      </c>
      <c r="S41" s="3">
        <f t="shared" si="5"/>
        <v>0.290675957279974</v>
      </c>
      <c r="T41" s="3">
        <f t="shared" si="5"/>
        <v>0.277491418715581</v>
      </c>
      <c r="U41" s="3">
        <f t="shared" si="5"/>
        <v>0.264689107938819</v>
      </c>
      <c r="V41" s="3">
        <f t="shared" si="5"/>
        <v>0.247617566882445</v>
      </c>
      <c r="W41" s="3">
        <f t="shared" si="5"/>
        <v>0.231094951682092</v>
      </c>
      <c r="X41" s="3">
        <f t="shared" si="5"/>
        <v>0.215095205650957</v>
      </c>
      <c r="Y41" s="3">
        <f t="shared" si="5"/>
        <v>0.199593895576707</v>
      </c>
      <c r="Z41" s="3">
        <f t="shared" si="5"/>
        <v>0.184568087221539</v>
      </c>
      <c r="AA41" s="3">
        <f t="shared" si="8"/>
        <v>0.168269986956113</v>
      </c>
      <c r="AB41" s="3">
        <f t="shared" si="8"/>
        <v>0.152295794704583</v>
      </c>
      <c r="AC41" s="3">
        <f t="shared" si="8"/>
        <v>0.136635949465535</v>
      </c>
      <c r="AD41" s="3">
        <f t="shared" si="8"/>
        <v>0.121281262862198</v>
      </c>
      <c r="AE41" s="3">
        <f t="shared" si="8"/>
        <v>0.106222901164557</v>
      </c>
      <c r="AF41" s="3">
        <f t="shared" si="8"/>
        <v>0.099934126083478</v>
      </c>
      <c r="AG41" s="3">
        <f t="shared" si="8"/>
        <v>0.0937426804966092</v>
      </c>
      <c r="AH41" s="3">
        <f t="shared" si="8"/>
        <v>0.0876463222452793</v>
      </c>
      <c r="AI41" s="3">
        <f t="shared" si="8"/>
        <v>0.0816428775155072</v>
      </c>
      <c r="AJ41" s="3">
        <f t="shared" si="8"/>
        <v>0.0757302382536226</v>
      </c>
    </row>
    <row r="42" spans="1:36">
      <c r="A42" t="str">
        <f>"recycling_archetype_"&amp;TEXT(ROUND(Table26[[#This Row],[2016]],3),"0.000")</f>
        <v>recycling_archetype_0.415</v>
      </c>
      <c r="B42" s="3">
        <f t="shared" si="2"/>
        <v>0.415</v>
      </c>
      <c r="C42" s="3">
        <f t="shared" si="6"/>
        <v>0.415</v>
      </c>
      <c r="D42" s="3">
        <f t="shared" si="6"/>
        <v>0.415</v>
      </c>
      <c r="E42" s="3">
        <f t="shared" si="6"/>
        <v>0.405911293236354</v>
      </c>
      <c r="F42" s="3">
        <f t="shared" si="6"/>
        <v>0.397254526767812</v>
      </c>
      <c r="G42" s="3">
        <f t="shared" si="6"/>
        <v>0.38899962339444</v>
      </c>
      <c r="H42" s="3">
        <f t="shared" si="6"/>
        <v>0.381119235049001</v>
      </c>
      <c r="I42" s="3">
        <f t="shared" si="6"/>
        <v>0.37358844011936</v>
      </c>
      <c r="J42" s="3">
        <f t="shared" si="6"/>
        <v>0.366384480179319</v>
      </c>
      <c r="K42" s="3">
        <f t="shared" si="6"/>
        <v>0.35948653026892</v>
      </c>
      <c r="L42" s="3">
        <f t="shared" si="6"/>
        <v>0.352875497840051</v>
      </c>
      <c r="M42" s="3">
        <f t="shared" si="6"/>
        <v>0.34653384627924</v>
      </c>
      <c r="N42" s="3">
        <f t="shared" si="6"/>
        <v>0.340445439572553</v>
      </c>
      <c r="O42" s="3">
        <f t="shared" si="6"/>
        <v>0.334595405215456</v>
      </c>
      <c r="P42" s="3">
        <f t="shared" si="6"/>
        <v>0.328970012915515</v>
      </c>
      <c r="Q42" s="3">
        <f t="shared" si="6"/>
        <v>0.31473988306932</v>
      </c>
      <c r="R42" s="3">
        <f t="shared" si="6"/>
        <v>0.300941048610811</v>
      </c>
      <c r="S42" s="3">
        <f t="shared" si="5"/>
        <v>0.287554194306426</v>
      </c>
      <c r="T42" s="3">
        <f t="shared" si="5"/>
        <v>0.274561141315694</v>
      </c>
      <c r="U42" s="3">
        <f t="shared" si="5"/>
        <v>0.261944764829412</v>
      </c>
      <c r="V42" s="3">
        <f t="shared" si="5"/>
        <v>0.245121162206111</v>
      </c>
      <c r="W42" s="3">
        <f t="shared" si="5"/>
        <v>0.228838513117167</v>
      </c>
      <c r="X42" s="3">
        <f t="shared" si="5"/>
        <v>0.213071139309923</v>
      </c>
      <c r="Y42" s="3">
        <f t="shared" si="5"/>
        <v>0.197794962427674</v>
      </c>
      <c r="Z42" s="3">
        <f t="shared" si="5"/>
        <v>0.182987381317892</v>
      </c>
      <c r="AA42" s="3">
        <f t="shared" si="8"/>
        <v>0.166925986422446</v>
      </c>
      <c r="AB42" s="3">
        <f t="shared" si="8"/>
        <v>0.15118379526463</v>
      </c>
      <c r="AC42" s="3">
        <f t="shared" si="8"/>
        <v>0.13575138570218</v>
      </c>
      <c r="AD42" s="3">
        <f t="shared" si="8"/>
        <v>0.120619702805667</v>
      </c>
      <c r="AE42" s="3">
        <f t="shared" si="8"/>
        <v>0.105780041141704</v>
      </c>
      <c r="AF42" s="3">
        <f t="shared" si="8"/>
        <v>0.0995826010510866</v>
      </c>
      <c r="AG42" s="3">
        <f t="shared" si="8"/>
        <v>0.0934810768903032</v>
      </c>
      <c r="AH42" s="3">
        <f t="shared" si="8"/>
        <v>0.0874732590646617</v>
      </c>
      <c r="AI42" s="3">
        <f t="shared" si="8"/>
        <v>0.0815570053315563</v>
      </c>
      <c r="AJ42" s="3">
        <f t="shared" si="8"/>
        <v>0.0757302382536226</v>
      </c>
    </row>
    <row r="43" spans="1:36">
      <c r="A43" t="str">
        <f>"recycling_archetype_"&amp;TEXT(ROUND(Table26[[#This Row],[2016]],3),"0.000")</f>
        <v>recycling_archetype_0.410</v>
      </c>
      <c r="B43" s="3">
        <f t="shared" si="2"/>
        <v>0.41</v>
      </c>
      <c r="C43" s="3">
        <f t="shared" si="6"/>
        <v>0.41</v>
      </c>
      <c r="D43" s="3">
        <f t="shared" si="6"/>
        <v>0.41</v>
      </c>
      <c r="E43" s="3">
        <f t="shared" si="6"/>
        <v>0.401045238370705</v>
      </c>
      <c r="F43" s="3">
        <f t="shared" si="6"/>
        <v>0.392516051301282</v>
      </c>
      <c r="G43" s="3">
        <f t="shared" si="6"/>
        <v>0.384382804855583</v>
      </c>
      <c r="H43" s="3">
        <f t="shared" si="6"/>
        <v>0.376618554009473</v>
      </c>
      <c r="I43" s="3">
        <f t="shared" si="6"/>
        <v>0.369198744433949</v>
      </c>
      <c r="J43" s="3">
        <f t="shared" si="6"/>
        <v>0.362100953105913</v>
      </c>
      <c r="K43" s="3">
        <f t="shared" si="6"/>
        <v>0.355304661973988</v>
      </c>
      <c r="L43" s="3">
        <f t="shared" si="6"/>
        <v>0.348791059867155</v>
      </c>
      <c r="M43" s="3">
        <f t="shared" si="6"/>
        <v>0.342542868618401</v>
      </c>
      <c r="N43" s="3">
        <f t="shared" si="6"/>
        <v>0.33654419001886</v>
      </c>
      <c r="O43" s="3">
        <f t="shared" si="6"/>
        <v>0.330780370748056</v>
      </c>
      <c r="P43" s="3">
        <f t="shared" si="6"/>
        <v>0.32523788286422</v>
      </c>
      <c r="Q43" s="3">
        <f t="shared" si="6"/>
        <v>0.311217470055183</v>
      </c>
      <c r="R43" s="3">
        <f t="shared" si="6"/>
        <v>0.297621996402946</v>
      </c>
      <c r="S43" s="3">
        <f t="shared" si="5"/>
        <v>0.284432431332879</v>
      </c>
      <c r="T43" s="3">
        <f t="shared" si="5"/>
        <v>0.271630863915807</v>
      </c>
      <c r="U43" s="3">
        <f t="shared" si="5"/>
        <v>0.259200421720004</v>
      </c>
      <c r="V43" s="3">
        <f t="shared" si="5"/>
        <v>0.242624757529777</v>
      </c>
      <c r="W43" s="3">
        <f t="shared" si="5"/>
        <v>0.226582074552241</v>
      </c>
      <c r="X43" s="3">
        <f t="shared" si="5"/>
        <v>0.211047072968889</v>
      </c>
      <c r="Y43" s="3">
        <f t="shared" si="5"/>
        <v>0.19599602927864</v>
      </c>
      <c r="Z43" s="3">
        <f t="shared" si="5"/>
        <v>0.181406675414245</v>
      </c>
      <c r="AA43" s="3">
        <f t="shared" si="8"/>
        <v>0.165581985888779</v>
      </c>
      <c r="AB43" s="3">
        <f t="shared" si="8"/>
        <v>0.150071795824677</v>
      </c>
      <c r="AC43" s="3">
        <f t="shared" si="8"/>
        <v>0.134866821938826</v>
      </c>
      <c r="AD43" s="3">
        <f t="shared" si="8"/>
        <v>0.119958142749136</v>
      </c>
      <c r="AE43" s="3">
        <f t="shared" si="8"/>
        <v>0.105337181118851</v>
      </c>
      <c r="AF43" s="3">
        <f t="shared" si="8"/>
        <v>0.0992310760186952</v>
      </c>
      <c r="AG43" s="3">
        <f t="shared" si="8"/>
        <v>0.0932194732839973</v>
      </c>
      <c r="AH43" s="3">
        <f t="shared" si="8"/>
        <v>0.0873001958840441</v>
      </c>
      <c r="AI43" s="3">
        <f t="shared" si="8"/>
        <v>0.0814711331476054</v>
      </c>
      <c r="AJ43" s="3">
        <f t="shared" si="8"/>
        <v>0.0757302382536226</v>
      </c>
    </row>
    <row r="44" spans="1:36">
      <c r="A44" t="str">
        <f>"recycling_archetype_"&amp;TEXT(ROUND(Table26[[#This Row],[2016]],3),"0.000")</f>
        <v>recycling_archetype_0.405</v>
      </c>
      <c r="B44" s="3">
        <f t="shared" si="2"/>
        <v>0.405</v>
      </c>
      <c r="C44" s="3">
        <f t="shared" si="6"/>
        <v>0.405</v>
      </c>
      <c r="D44" s="3">
        <f t="shared" si="6"/>
        <v>0.405</v>
      </c>
      <c r="E44" s="3">
        <f t="shared" si="6"/>
        <v>0.396179183505055</v>
      </c>
      <c r="F44" s="3">
        <f t="shared" si="6"/>
        <v>0.387777575834751</v>
      </c>
      <c r="G44" s="3">
        <f t="shared" si="6"/>
        <v>0.379765986316727</v>
      </c>
      <c r="H44" s="3">
        <f t="shared" si="6"/>
        <v>0.372117872969946</v>
      </c>
      <c r="I44" s="3">
        <f t="shared" si="6"/>
        <v>0.364809048748537</v>
      </c>
      <c r="J44" s="3">
        <f t="shared" si="6"/>
        <v>0.357817426032508</v>
      </c>
      <c r="K44" s="3">
        <f t="shared" si="6"/>
        <v>0.351122793679055</v>
      </c>
      <c r="L44" s="3">
        <f t="shared" si="6"/>
        <v>0.34470662189426</v>
      </c>
      <c r="M44" s="3">
        <f t="shared" si="6"/>
        <v>0.338551890957562</v>
      </c>
      <c r="N44" s="3">
        <f t="shared" si="6"/>
        <v>0.332642940465167</v>
      </c>
      <c r="O44" s="3">
        <f t="shared" si="6"/>
        <v>0.326965336280656</v>
      </c>
      <c r="P44" s="3">
        <f t="shared" si="6"/>
        <v>0.321505752812925</v>
      </c>
      <c r="Q44" s="3">
        <f t="shared" si="6"/>
        <v>0.307695057041047</v>
      </c>
      <c r="R44" s="3">
        <f t="shared" ref="R44:AG59" si="9">(($B44-$AJ$2)*((R$2-$AJ$2)/($B$2-$AJ$2)))+$AJ$2</f>
        <v>0.294302944195082</v>
      </c>
      <c r="S44" s="3">
        <f t="shared" si="9"/>
        <v>0.281310668359332</v>
      </c>
      <c r="T44" s="3">
        <f t="shared" si="9"/>
        <v>0.268700586515921</v>
      </c>
      <c r="U44" s="3">
        <f t="shared" si="9"/>
        <v>0.256456078610597</v>
      </c>
      <c r="V44" s="3">
        <f t="shared" si="9"/>
        <v>0.240128352853443</v>
      </c>
      <c r="W44" s="3">
        <f t="shared" si="9"/>
        <v>0.224325635987315</v>
      </c>
      <c r="X44" s="3">
        <f t="shared" si="9"/>
        <v>0.209023006627855</v>
      </c>
      <c r="Y44" s="3">
        <f t="shared" si="9"/>
        <v>0.194197096129607</v>
      </c>
      <c r="Z44" s="3">
        <f t="shared" si="9"/>
        <v>0.179825969510598</v>
      </c>
      <c r="AA44" s="3">
        <f t="shared" si="9"/>
        <v>0.164237985355113</v>
      </c>
      <c r="AB44" s="3">
        <f t="shared" si="9"/>
        <v>0.148959796384724</v>
      </c>
      <c r="AC44" s="3">
        <f t="shared" si="9"/>
        <v>0.133982258175471</v>
      </c>
      <c r="AD44" s="3">
        <f t="shared" si="9"/>
        <v>0.119296582692605</v>
      </c>
      <c r="AE44" s="3">
        <f t="shared" si="9"/>
        <v>0.104894321095998</v>
      </c>
      <c r="AF44" s="3">
        <f t="shared" si="9"/>
        <v>0.0988795509863038</v>
      </c>
      <c r="AG44" s="3">
        <f t="shared" si="9"/>
        <v>0.0929578696776914</v>
      </c>
      <c r="AH44" s="3">
        <f t="shared" si="8"/>
        <v>0.0871271327034265</v>
      </c>
      <c r="AI44" s="3">
        <f t="shared" si="8"/>
        <v>0.0813852609636545</v>
      </c>
      <c r="AJ44" s="3">
        <f t="shared" si="8"/>
        <v>0.0757302382536226</v>
      </c>
    </row>
    <row r="45" spans="1:36">
      <c r="A45" t="str">
        <f>"recycling_archetype_"&amp;TEXT(ROUND(Table26[[#This Row],[2016]],3),"0.000")</f>
        <v>recycling_archetype_0.400</v>
      </c>
      <c r="B45" s="3">
        <f t="shared" si="2"/>
        <v>0.4</v>
      </c>
      <c r="C45" s="3">
        <f t="shared" ref="C45:R60" si="10">(($B45-$AJ$2)*((C$2-$AJ$2)/($B$2-$AJ$2)))+$AJ$2</f>
        <v>0.4</v>
      </c>
      <c r="D45" s="3">
        <f t="shared" si="10"/>
        <v>0.4</v>
      </c>
      <c r="E45" s="3">
        <f t="shared" si="10"/>
        <v>0.391313128639406</v>
      </c>
      <c r="F45" s="3">
        <f t="shared" si="10"/>
        <v>0.38303910036822</v>
      </c>
      <c r="G45" s="3">
        <f t="shared" si="10"/>
        <v>0.37514916777787</v>
      </c>
      <c r="H45" s="3">
        <f t="shared" si="10"/>
        <v>0.367617191930419</v>
      </c>
      <c r="I45" s="3">
        <f t="shared" si="10"/>
        <v>0.360419353063125</v>
      </c>
      <c r="J45" s="3">
        <f t="shared" si="10"/>
        <v>0.353533898959102</v>
      </c>
      <c r="K45" s="3">
        <f t="shared" si="10"/>
        <v>0.346940925384122</v>
      </c>
      <c r="L45" s="3">
        <f t="shared" si="10"/>
        <v>0.340622183921364</v>
      </c>
      <c r="M45" s="3">
        <f t="shared" si="10"/>
        <v>0.334560913296722</v>
      </c>
      <c r="N45" s="3">
        <f t="shared" si="10"/>
        <v>0.328741690911474</v>
      </c>
      <c r="O45" s="3">
        <f t="shared" si="10"/>
        <v>0.323150301813255</v>
      </c>
      <c r="P45" s="3">
        <f t="shared" si="10"/>
        <v>0.317773622761629</v>
      </c>
      <c r="Q45" s="3">
        <f t="shared" si="10"/>
        <v>0.30417264402691</v>
      </c>
      <c r="R45" s="3">
        <f t="shared" si="10"/>
        <v>0.290983891987217</v>
      </c>
      <c r="S45" s="3">
        <f t="shared" si="9"/>
        <v>0.278188905385785</v>
      </c>
      <c r="T45" s="3">
        <f t="shared" si="9"/>
        <v>0.265770309116034</v>
      </c>
      <c r="U45" s="3">
        <f t="shared" si="9"/>
        <v>0.25371173550119</v>
      </c>
      <c r="V45" s="3">
        <f t="shared" si="9"/>
        <v>0.237631948177109</v>
      </c>
      <c r="W45" s="3">
        <f t="shared" si="9"/>
        <v>0.222069197422389</v>
      </c>
      <c r="X45" s="3">
        <f t="shared" si="9"/>
        <v>0.20699894028682</v>
      </c>
      <c r="Y45" s="3">
        <f t="shared" si="9"/>
        <v>0.192398162980573</v>
      </c>
      <c r="Z45" s="3">
        <f t="shared" si="9"/>
        <v>0.178245263606951</v>
      </c>
      <c r="AA45" s="3">
        <f t="shared" si="9"/>
        <v>0.162893984821446</v>
      </c>
      <c r="AB45" s="3">
        <f t="shared" si="9"/>
        <v>0.14784779694477</v>
      </c>
      <c r="AC45" s="3">
        <f t="shared" si="9"/>
        <v>0.133097694412116</v>
      </c>
      <c r="AD45" s="3">
        <f t="shared" si="9"/>
        <v>0.118635022636074</v>
      </c>
      <c r="AE45" s="3">
        <f t="shared" si="9"/>
        <v>0.104451461073144</v>
      </c>
      <c r="AF45" s="3">
        <f t="shared" si="9"/>
        <v>0.0985280259539124</v>
      </c>
      <c r="AG45" s="3">
        <f t="shared" si="9"/>
        <v>0.0926962660713855</v>
      </c>
      <c r="AH45" s="3">
        <f t="shared" si="8"/>
        <v>0.086954069522809</v>
      </c>
      <c r="AI45" s="3">
        <f t="shared" si="8"/>
        <v>0.0812993887797036</v>
      </c>
      <c r="AJ45" s="3">
        <f t="shared" si="8"/>
        <v>0.0757302382536226</v>
      </c>
    </row>
    <row r="46" spans="1:36">
      <c r="A46" t="str">
        <f>"recycling_archetype_"&amp;TEXT(ROUND(Table26[[#This Row],[2016]],3),"0.000")</f>
        <v>recycling_archetype_0.395</v>
      </c>
      <c r="B46" s="3">
        <f t="shared" si="2"/>
        <v>0.395</v>
      </c>
      <c r="C46" s="3">
        <f t="shared" si="10"/>
        <v>0.395</v>
      </c>
      <c r="D46" s="3">
        <f t="shared" si="10"/>
        <v>0.395</v>
      </c>
      <c r="E46" s="3">
        <f t="shared" si="10"/>
        <v>0.386447073773757</v>
      </c>
      <c r="F46" s="3">
        <f t="shared" si="10"/>
        <v>0.378300624901689</v>
      </c>
      <c r="G46" s="3">
        <f t="shared" si="10"/>
        <v>0.370532349239014</v>
      </c>
      <c r="H46" s="3">
        <f t="shared" si="10"/>
        <v>0.363116510890891</v>
      </c>
      <c r="I46" s="3">
        <f t="shared" si="10"/>
        <v>0.356029657377714</v>
      </c>
      <c r="J46" s="3">
        <f t="shared" si="10"/>
        <v>0.349250371885696</v>
      </c>
      <c r="K46" s="3">
        <f t="shared" si="10"/>
        <v>0.34275905708919</v>
      </c>
      <c r="L46" s="3">
        <f t="shared" si="10"/>
        <v>0.336537745948469</v>
      </c>
      <c r="M46" s="3">
        <f t="shared" si="10"/>
        <v>0.330569935635883</v>
      </c>
      <c r="N46" s="3">
        <f t="shared" si="10"/>
        <v>0.324840441357781</v>
      </c>
      <c r="O46" s="3">
        <f t="shared" si="10"/>
        <v>0.319335267345855</v>
      </c>
      <c r="P46" s="3">
        <f t="shared" si="10"/>
        <v>0.314041492710334</v>
      </c>
      <c r="Q46" s="3">
        <f t="shared" si="10"/>
        <v>0.300650231012773</v>
      </c>
      <c r="R46" s="3">
        <f t="shared" si="10"/>
        <v>0.287664839779353</v>
      </c>
      <c r="S46" s="3">
        <f t="shared" si="9"/>
        <v>0.275067142412238</v>
      </c>
      <c r="T46" s="3">
        <f t="shared" si="9"/>
        <v>0.262840031716147</v>
      </c>
      <c r="U46" s="3">
        <f t="shared" si="9"/>
        <v>0.250967392391782</v>
      </c>
      <c r="V46" s="3">
        <f t="shared" si="9"/>
        <v>0.235135543500774</v>
      </c>
      <c r="W46" s="3">
        <f t="shared" si="9"/>
        <v>0.219812758857463</v>
      </c>
      <c r="X46" s="3">
        <f t="shared" si="9"/>
        <v>0.204974873945786</v>
      </c>
      <c r="Y46" s="3">
        <f t="shared" si="9"/>
        <v>0.19059922983154</v>
      </c>
      <c r="Z46" s="3">
        <f t="shared" si="9"/>
        <v>0.176664557703304</v>
      </c>
      <c r="AA46" s="3">
        <f t="shared" si="9"/>
        <v>0.161549984287779</v>
      </c>
      <c r="AB46" s="3">
        <f t="shared" si="9"/>
        <v>0.146735797504817</v>
      </c>
      <c r="AC46" s="3">
        <f t="shared" si="9"/>
        <v>0.132213130648762</v>
      </c>
      <c r="AD46" s="3">
        <f t="shared" si="9"/>
        <v>0.117973462579542</v>
      </c>
      <c r="AE46" s="3">
        <f t="shared" si="9"/>
        <v>0.104008601050291</v>
      </c>
      <c r="AF46" s="3">
        <f t="shared" si="9"/>
        <v>0.098176500921521</v>
      </c>
      <c r="AG46" s="3">
        <f t="shared" si="9"/>
        <v>0.0924346624650796</v>
      </c>
      <c r="AH46" s="3">
        <f t="shared" si="8"/>
        <v>0.0867810063421914</v>
      </c>
      <c r="AI46" s="3">
        <f t="shared" si="8"/>
        <v>0.0812135165957526</v>
      </c>
      <c r="AJ46" s="3">
        <f t="shared" si="8"/>
        <v>0.0757302382536226</v>
      </c>
    </row>
    <row r="47" spans="1:36">
      <c r="A47" t="str">
        <f>"recycling_archetype_"&amp;TEXT(ROUND(Table26[[#This Row],[2016]],3),"0.000")</f>
        <v>recycling_archetype_0.390</v>
      </c>
      <c r="B47" s="3">
        <f t="shared" si="2"/>
        <v>0.39</v>
      </c>
      <c r="C47" s="3">
        <f t="shared" si="10"/>
        <v>0.39</v>
      </c>
      <c r="D47" s="3">
        <f t="shared" si="10"/>
        <v>0.39</v>
      </c>
      <c r="E47" s="3">
        <f t="shared" si="10"/>
        <v>0.381581018908107</v>
      </c>
      <c r="F47" s="3">
        <f t="shared" si="10"/>
        <v>0.373562149435159</v>
      </c>
      <c r="G47" s="3">
        <f t="shared" si="10"/>
        <v>0.365915530700157</v>
      </c>
      <c r="H47" s="3">
        <f t="shared" si="10"/>
        <v>0.358615829851364</v>
      </c>
      <c r="I47" s="3">
        <f t="shared" si="10"/>
        <v>0.351639961692302</v>
      </c>
      <c r="J47" s="3">
        <f t="shared" si="10"/>
        <v>0.344966844812291</v>
      </c>
      <c r="K47" s="3">
        <f t="shared" si="10"/>
        <v>0.338577188794257</v>
      </c>
      <c r="L47" s="3">
        <f t="shared" si="10"/>
        <v>0.332453307975573</v>
      </c>
      <c r="M47" s="3">
        <f t="shared" si="10"/>
        <v>0.326578957975043</v>
      </c>
      <c r="N47" s="3">
        <f t="shared" si="10"/>
        <v>0.320939191804087</v>
      </c>
      <c r="O47" s="3">
        <f t="shared" si="10"/>
        <v>0.315520232878454</v>
      </c>
      <c r="P47" s="3">
        <f t="shared" si="10"/>
        <v>0.310309362659039</v>
      </c>
      <c r="Q47" s="3">
        <f t="shared" si="10"/>
        <v>0.297127817998637</v>
      </c>
      <c r="R47" s="3">
        <f t="shared" si="10"/>
        <v>0.284345787571489</v>
      </c>
      <c r="S47" s="3">
        <f t="shared" si="9"/>
        <v>0.271945379438691</v>
      </c>
      <c r="T47" s="3">
        <f t="shared" si="9"/>
        <v>0.25990975431626</v>
      </c>
      <c r="U47" s="3">
        <f t="shared" si="9"/>
        <v>0.248223049282375</v>
      </c>
      <c r="V47" s="3">
        <f t="shared" si="9"/>
        <v>0.23263913882444</v>
      </c>
      <c r="W47" s="3">
        <f t="shared" si="9"/>
        <v>0.217556320292538</v>
      </c>
      <c r="X47" s="3">
        <f t="shared" si="9"/>
        <v>0.202950807604752</v>
      </c>
      <c r="Y47" s="3">
        <f t="shared" si="9"/>
        <v>0.188800296682506</v>
      </c>
      <c r="Z47" s="3">
        <f t="shared" si="9"/>
        <v>0.175083851799658</v>
      </c>
      <c r="AA47" s="3">
        <f t="shared" si="9"/>
        <v>0.160205983754112</v>
      </c>
      <c r="AB47" s="3">
        <f t="shared" si="9"/>
        <v>0.145623798064864</v>
      </c>
      <c r="AC47" s="3">
        <f t="shared" si="9"/>
        <v>0.131328566885407</v>
      </c>
      <c r="AD47" s="3">
        <f t="shared" si="9"/>
        <v>0.117311902523011</v>
      </c>
      <c r="AE47" s="3">
        <f t="shared" si="9"/>
        <v>0.103565741027438</v>
      </c>
      <c r="AF47" s="3">
        <f t="shared" si="9"/>
        <v>0.0978249758891296</v>
      </c>
      <c r="AG47" s="3">
        <f t="shared" si="9"/>
        <v>0.0921730588587736</v>
      </c>
      <c r="AH47" s="3">
        <f t="shared" si="8"/>
        <v>0.0866079431615738</v>
      </c>
      <c r="AI47" s="3">
        <f t="shared" si="8"/>
        <v>0.0811276444118017</v>
      </c>
      <c r="AJ47" s="3">
        <f t="shared" si="8"/>
        <v>0.0757302382536226</v>
      </c>
    </row>
    <row r="48" spans="1:36">
      <c r="A48" t="str">
        <f>"recycling_archetype_"&amp;TEXT(ROUND(Table26[[#This Row],[2016]],3),"0.000")</f>
        <v>recycling_archetype_0.385</v>
      </c>
      <c r="B48" s="3">
        <f t="shared" si="2"/>
        <v>0.385</v>
      </c>
      <c r="C48" s="3">
        <f t="shared" si="10"/>
        <v>0.385</v>
      </c>
      <c r="D48" s="3">
        <f t="shared" si="10"/>
        <v>0.385</v>
      </c>
      <c r="E48" s="3">
        <f t="shared" si="10"/>
        <v>0.376714964042458</v>
      </c>
      <c r="F48" s="3">
        <f t="shared" si="10"/>
        <v>0.368823673968628</v>
      </c>
      <c r="G48" s="3">
        <f t="shared" si="10"/>
        <v>0.361298712161301</v>
      </c>
      <c r="H48" s="3">
        <f t="shared" si="10"/>
        <v>0.354115148811837</v>
      </c>
      <c r="I48" s="3">
        <f t="shared" si="10"/>
        <v>0.347250266006891</v>
      </c>
      <c r="J48" s="3">
        <f t="shared" si="10"/>
        <v>0.340683317738885</v>
      </c>
      <c r="K48" s="3">
        <f t="shared" si="10"/>
        <v>0.334395320499325</v>
      </c>
      <c r="L48" s="3">
        <f t="shared" si="10"/>
        <v>0.328368870002678</v>
      </c>
      <c r="M48" s="3">
        <f t="shared" si="10"/>
        <v>0.322587980314204</v>
      </c>
      <c r="N48" s="3">
        <f t="shared" si="10"/>
        <v>0.317037942250394</v>
      </c>
      <c r="O48" s="3">
        <f t="shared" si="10"/>
        <v>0.311705198411054</v>
      </c>
      <c r="P48" s="3">
        <f t="shared" si="10"/>
        <v>0.306577232607743</v>
      </c>
      <c r="Q48" s="3">
        <f t="shared" si="10"/>
        <v>0.2936054049845</v>
      </c>
      <c r="R48" s="3">
        <f t="shared" si="10"/>
        <v>0.281026735363624</v>
      </c>
      <c r="S48" s="3">
        <f t="shared" si="9"/>
        <v>0.268823616465143</v>
      </c>
      <c r="T48" s="3">
        <f t="shared" si="9"/>
        <v>0.256979476916374</v>
      </c>
      <c r="U48" s="3">
        <f t="shared" si="9"/>
        <v>0.245478706172967</v>
      </c>
      <c r="V48" s="3">
        <f t="shared" si="9"/>
        <v>0.230142734148106</v>
      </c>
      <c r="W48" s="3">
        <f t="shared" si="9"/>
        <v>0.215299881727612</v>
      </c>
      <c r="X48" s="3">
        <f t="shared" si="9"/>
        <v>0.200926741263718</v>
      </c>
      <c r="Y48" s="3">
        <f t="shared" si="9"/>
        <v>0.187001363533473</v>
      </c>
      <c r="Z48" s="3">
        <f t="shared" si="9"/>
        <v>0.173503145896011</v>
      </c>
      <c r="AA48" s="3">
        <f t="shared" si="9"/>
        <v>0.158861983220446</v>
      </c>
      <c r="AB48" s="3">
        <f t="shared" si="9"/>
        <v>0.144511798624911</v>
      </c>
      <c r="AC48" s="3">
        <f t="shared" si="9"/>
        <v>0.130444003122053</v>
      </c>
      <c r="AD48" s="3">
        <f t="shared" si="9"/>
        <v>0.11665034246648</v>
      </c>
      <c r="AE48" s="3">
        <f t="shared" si="9"/>
        <v>0.103122881004585</v>
      </c>
      <c r="AF48" s="3">
        <f t="shared" si="9"/>
        <v>0.0974734508567382</v>
      </c>
      <c r="AG48" s="3">
        <f t="shared" si="9"/>
        <v>0.0919114552524677</v>
      </c>
      <c r="AH48" s="3">
        <f t="shared" si="8"/>
        <v>0.0864348799809562</v>
      </c>
      <c r="AI48" s="3">
        <f t="shared" si="8"/>
        <v>0.0810417722278508</v>
      </c>
      <c r="AJ48" s="3">
        <f t="shared" si="8"/>
        <v>0.0757302382536226</v>
      </c>
    </row>
    <row r="49" spans="1:36">
      <c r="A49" t="str">
        <f>"recycling_archetype_"&amp;TEXT(ROUND(Table26[[#This Row],[2016]],3),"0.000")</f>
        <v>recycling_archetype_0.380</v>
      </c>
      <c r="B49" s="3">
        <f t="shared" si="2"/>
        <v>0.38</v>
      </c>
      <c r="C49" s="3">
        <f t="shared" si="10"/>
        <v>0.38</v>
      </c>
      <c r="D49" s="3">
        <f t="shared" si="10"/>
        <v>0.38</v>
      </c>
      <c r="E49" s="3">
        <f t="shared" si="10"/>
        <v>0.371848909176808</v>
      </c>
      <c r="F49" s="3">
        <f t="shared" si="10"/>
        <v>0.364085198502097</v>
      </c>
      <c r="G49" s="3">
        <f t="shared" si="10"/>
        <v>0.356681893622444</v>
      </c>
      <c r="H49" s="3">
        <f t="shared" si="10"/>
        <v>0.349614467772309</v>
      </c>
      <c r="I49" s="3">
        <f t="shared" si="10"/>
        <v>0.342860570321479</v>
      </c>
      <c r="J49" s="3">
        <f t="shared" si="10"/>
        <v>0.33639979066548</v>
      </c>
      <c r="K49" s="3">
        <f t="shared" si="10"/>
        <v>0.330213452204392</v>
      </c>
      <c r="L49" s="3">
        <f t="shared" si="10"/>
        <v>0.324284432029782</v>
      </c>
      <c r="M49" s="3">
        <f t="shared" si="10"/>
        <v>0.318597002653365</v>
      </c>
      <c r="N49" s="3">
        <f t="shared" si="10"/>
        <v>0.313136692696701</v>
      </c>
      <c r="O49" s="3">
        <f t="shared" si="10"/>
        <v>0.307890163943653</v>
      </c>
      <c r="P49" s="3">
        <f t="shared" si="10"/>
        <v>0.302845102556448</v>
      </c>
      <c r="Q49" s="3">
        <f t="shared" si="10"/>
        <v>0.290082991970363</v>
      </c>
      <c r="R49" s="3">
        <f t="shared" si="10"/>
        <v>0.27770768315576</v>
      </c>
      <c r="S49" s="3">
        <f t="shared" si="9"/>
        <v>0.265701853491596</v>
      </c>
      <c r="T49" s="3">
        <f t="shared" si="9"/>
        <v>0.254049199516487</v>
      </c>
      <c r="U49" s="3">
        <f t="shared" si="9"/>
        <v>0.24273436306356</v>
      </c>
      <c r="V49" s="3">
        <f t="shared" si="9"/>
        <v>0.227646329471772</v>
      </c>
      <c r="W49" s="3">
        <f t="shared" si="9"/>
        <v>0.213043443162686</v>
      </c>
      <c r="X49" s="3">
        <f t="shared" si="9"/>
        <v>0.198902674922684</v>
      </c>
      <c r="Y49" s="3">
        <f t="shared" si="9"/>
        <v>0.185202430384439</v>
      </c>
      <c r="Z49" s="3">
        <f t="shared" si="9"/>
        <v>0.171922439992364</v>
      </c>
      <c r="AA49" s="3">
        <f t="shared" si="9"/>
        <v>0.157517982686779</v>
      </c>
      <c r="AB49" s="3">
        <f t="shared" si="9"/>
        <v>0.143399799184958</v>
      </c>
      <c r="AC49" s="3">
        <f t="shared" si="9"/>
        <v>0.129559439358698</v>
      </c>
      <c r="AD49" s="3">
        <f t="shared" si="9"/>
        <v>0.115988782409949</v>
      </c>
      <c r="AE49" s="3">
        <f t="shared" si="9"/>
        <v>0.102680020981731</v>
      </c>
      <c r="AF49" s="3">
        <f t="shared" si="9"/>
        <v>0.0971219258243468</v>
      </c>
      <c r="AG49" s="3">
        <f t="shared" si="9"/>
        <v>0.0916498516461618</v>
      </c>
      <c r="AH49" s="3">
        <f t="shared" si="8"/>
        <v>0.0862618168003387</v>
      </c>
      <c r="AI49" s="3">
        <f t="shared" si="8"/>
        <v>0.0809559000438999</v>
      </c>
      <c r="AJ49" s="3">
        <f t="shared" si="8"/>
        <v>0.0757302382536226</v>
      </c>
    </row>
    <row r="50" spans="1:36">
      <c r="A50" t="str">
        <f>"recycling_archetype_"&amp;TEXT(ROUND(Table26[[#This Row],[2016]],3),"0.000")</f>
        <v>recycling_archetype_0.375</v>
      </c>
      <c r="B50" s="3">
        <f t="shared" si="2"/>
        <v>0.375</v>
      </c>
      <c r="C50" s="3">
        <f t="shared" si="10"/>
        <v>0.375</v>
      </c>
      <c r="D50" s="3">
        <f t="shared" si="10"/>
        <v>0.375</v>
      </c>
      <c r="E50" s="3">
        <f t="shared" si="10"/>
        <v>0.366982854311159</v>
      </c>
      <c r="F50" s="3">
        <f t="shared" si="10"/>
        <v>0.359346723035566</v>
      </c>
      <c r="G50" s="3">
        <f t="shared" si="10"/>
        <v>0.352065075083588</v>
      </c>
      <c r="H50" s="3">
        <f t="shared" si="10"/>
        <v>0.345113786732782</v>
      </c>
      <c r="I50" s="3">
        <f t="shared" si="10"/>
        <v>0.338470874636068</v>
      </c>
      <c r="J50" s="3">
        <f t="shared" si="10"/>
        <v>0.332116263592074</v>
      </c>
      <c r="K50" s="3">
        <f t="shared" si="10"/>
        <v>0.32603158390946</v>
      </c>
      <c r="L50" s="3">
        <f t="shared" si="10"/>
        <v>0.320199994056886</v>
      </c>
      <c r="M50" s="3">
        <f t="shared" si="10"/>
        <v>0.314606024992525</v>
      </c>
      <c r="N50" s="3">
        <f t="shared" si="10"/>
        <v>0.309235443143008</v>
      </c>
      <c r="O50" s="3">
        <f t="shared" si="10"/>
        <v>0.304075129476253</v>
      </c>
      <c r="P50" s="3">
        <f t="shared" si="10"/>
        <v>0.299112972505153</v>
      </c>
      <c r="Q50" s="3">
        <f t="shared" si="10"/>
        <v>0.286560578956226</v>
      </c>
      <c r="R50" s="3">
        <f t="shared" si="10"/>
        <v>0.274388630947896</v>
      </c>
      <c r="S50" s="3">
        <f t="shared" si="9"/>
        <v>0.262580090518049</v>
      </c>
      <c r="T50" s="3">
        <f t="shared" si="9"/>
        <v>0.2511189221166</v>
      </c>
      <c r="U50" s="3">
        <f t="shared" si="9"/>
        <v>0.239990019954153</v>
      </c>
      <c r="V50" s="3">
        <f t="shared" si="9"/>
        <v>0.225149924795438</v>
      </c>
      <c r="W50" s="3">
        <f t="shared" si="9"/>
        <v>0.21078700459776</v>
      </c>
      <c r="X50" s="3">
        <f t="shared" si="9"/>
        <v>0.19687860858165</v>
      </c>
      <c r="Y50" s="3">
        <f t="shared" si="9"/>
        <v>0.183403497235406</v>
      </c>
      <c r="Z50" s="3">
        <f t="shared" si="9"/>
        <v>0.170341734088717</v>
      </c>
      <c r="AA50" s="3">
        <f t="shared" si="9"/>
        <v>0.156173982153112</v>
      </c>
      <c r="AB50" s="3">
        <f t="shared" si="9"/>
        <v>0.142287799745004</v>
      </c>
      <c r="AC50" s="3">
        <f t="shared" si="9"/>
        <v>0.128674875595344</v>
      </c>
      <c r="AD50" s="3">
        <f t="shared" si="9"/>
        <v>0.115327222353418</v>
      </c>
      <c r="AE50" s="3">
        <f t="shared" si="9"/>
        <v>0.102237160958878</v>
      </c>
      <c r="AF50" s="3">
        <f t="shared" si="9"/>
        <v>0.0967704007919554</v>
      </c>
      <c r="AG50" s="3">
        <f t="shared" si="9"/>
        <v>0.0913882480398559</v>
      </c>
      <c r="AH50" s="3">
        <f t="shared" si="8"/>
        <v>0.0860887536197211</v>
      </c>
      <c r="AI50" s="3">
        <f t="shared" si="8"/>
        <v>0.080870027859949</v>
      </c>
      <c r="AJ50" s="3">
        <f t="shared" si="8"/>
        <v>0.0757302382536226</v>
      </c>
    </row>
    <row r="51" spans="1:36">
      <c r="A51" t="str">
        <f>"recycling_archetype_"&amp;TEXT(ROUND(Table26[[#This Row],[2016]],3),"0.000")</f>
        <v>recycling_archetype_0.370</v>
      </c>
      <c r="B51" s="3">
        <f t="shared" si="2"/>
        <v>0.37</v>
      </c>
      <c r="C51" s="3">
        <f t="shared" si="10"/>
        <v>0.37</v>
      </c>
      <c r="D51" s="3">
        <f t="shared" si="10"/>
        <v>0.37</v>
      </c>
      <c r="E51" s="3">
        <f t="shared" si="10"/>
        <v>0.36211679944551</v>
      </c>
      <c r="F51" s="3">
        <f t="shared" si="10"/>
        <v>0.354608247569035</v>
      </c>
      <c r="G51" s="3">
        <f t="shared" si="10"/>
        <v>0.347448256544732</v>
      </c>
      <c r="H51" s="3">
        <f t="shared" si="10"/>
        <v>0.340613105693254</v>
      </c>
      <c r="I51" s="3">
        <f t="shared" si="10"/>
        <v>0.334081178950656</v>
      </c>
      <c r="J51" s="3">
        <f t="shared" si="10"/>
        <v>0.327832736518668</v>
      </c>
      <c r="K51" s="3">
        <f t="shared" si="10"/>
        <v>0.321849715614527</v>
      </c>
      <c r="L51" s="3">
        <f t="shared" si="10"/>
        <v>0.316115556083991</v>
      </c>
      <c r="M51" s="3">
        <f t="shared" si="10"/>
        <v>0.310615047331686</v>
      </c>
      <c r="N51" s="3">
        <f t="shared" si="10"/>
        <v>0.305334193589314</v>
      </c>
      <c r="O51" s="3">
        <f t="shared" si="10"/>
        <v>0.300260095008852</v>
      </c>
      <c r="P51" s="3">
        <f t="shared" si="10"/>
        <v>0.295380842453857</v>
      </c>
      <c r="Q51" s="3">
        <f t="shared" si="10"/>
        <v>0.28303816594209</v>
      </c>
      <c r="R51" s="3">
        <f t="shared" si="10"/>
        <v>0.271069578740031</v>
      </c>
      <c r="S51" s="3">
        <f t="shared" si="9"/>
        <v>0.259458327544502</v>
      </c>
      <c r="T51" s="3">
        <f t="shared" si="9"/>
        <v>0.248188644716714</v>
      </c>
      <c r="U51" s="3">
        <f t="shared" si="9"/>
        <v>0.237245676844745</v>
      </c>
      <c r="V51" s="3">
        <f t="shared" si="9"/>
        <v>0.222653520119103</v>
      </c>
      <c r="W51" s="3">
        <f t="shared" si="9"/>
        <v>0.208530566032834</v>
      </c>
      <c r="X51" s="3">
        <f t="shared" si="9"/>
        <v>0.194854542240616</v>
      </c>
      <c r="Y51" s="3">
        <f t="shared" si="9"/>
        <v>0.181604564086372</v>
      </c>
      <c r="Z51" s="3">
        <f t="shared" si="9"/>
        <v>0.16876102818507</v>
      </c>
      <c r="AA51" s="3">
        <f t="shared" si="9"/>
        <v>0.154829981619445</v>
      </c>
      <c r="AB51" s="3">
        <f t="shared" si="9"/>
        <v>0.141175800305051</v>
      </c>
      <c r="AC51" s="3">
        <f t="shared" si="9"/>
        <v>0.127790311831989</v>
      </c>
      <c r="AD51" s="3">
        <f t="shared" si="9"/>
        <v>0.114665662296887</v>
      </c>
      <c r="AE51" s="3">
        <f t="shared" si="9"/>
        <v>0.101794300936025</v>
      </c>
      <c r="AF51" s="3">
        <f t="shared" si="9"/>
        <v>0.096418875759564</v>
      </c>
      <c r="AG51" s="3">
        <f t="shared" si="9"/>
        <v>0.09112664443355</v>
      </c>
      <c r="AH51" s="3">
        <f t="shared" si="8"/>
        <v>0.0859156904391035</v>
      </c>
      <c r="AI51" s="3">
        <f t="shared" si="8"/>
        <v>0.0807841556759981</v>
      </c>
      <c r="AJ51" s="3">
        <f t="shared" si="8"/>
        <v>0.0757302382536226</v>
      </c>
    </row>
    <row r="52" spans="1:36">
      <c r="A52" t="str">
        <f>"recycling_archetype_"&amp;TEXT(ROUND(Table26[[#This Row],[2016]],3),"0.000")</f>
        <v>recycling_archetype_0.365</v>
      </c>
      <c r="B52" s="3">
        <f t="shared" si="2"/>
        <v>0.365</v>
      </c>
      <c r="C52" s="3">
        <f t="shared" si="10"/>
        <v>0.365</v>
      </c>
      <c r="D52" s="3">
        <f t="shared" si="10"/>
        <v>0.365</v>
      </c>
      <c r="E52" s="3">
        <f t="shared" si="10"/>
        <v>0.35725074457986</v>
      </c>
      <c r="F52" s="3">
        <f t="shared" si="10"/>
        <v>0.349869772102505</v>
      </c>
      <c r="G52" s="3">
        <f t="shared" si="10"/>
        <v>0.342831438005875</v>
      </c>
      <c r="H52" s="3">
        <f t="shared" si="10"/>
        <v>0.336112424653727</v>
      </c>
      <c r="I52" s="3">
        <f t="shared" si="10"/>
        <v>0.329691483265244</v>
      </c>
      <c r="J52" s="3">
        <f t="shared" si="10"/>
        <v>0.323549209445263</v>
      </c>
      <c r="K52" s="3">
        <f t="shared" si="10"/>
        <v>0.317667847319595</v>
      </c>
      <c r="L52" s="3">
        <f t="shared" si="10"/>
        <v>0.312031118111095</v>
      </c>
      <c r="M52" s="3">
        <f t="shared" si="10"/>
        <v>0.306624069670847</v>
      </c>
      <c r="N52" s="3">
        <f t="shared" si="10"/>
        <v>0.301432944035621</v>
      </c>
      <c r="O52" s="3">
        <f t="shared" si="10"/>
        <v>0.296445060541452</v>
      </c>
      <c r="P52" s="3">
        <f t="shared" si="10"/>
        <v>0.291648712402562</v>
      </c>
      <c r="Q52" s="3">
        <f t="shared" si="10"/>
        <v>0.279515752927953</v>
      </c>
      <c r="R52" s="3">
        <f t="shared" si="10"/>
        <v>0.267750526532167</v>
      </c>
      <c r="S52" s="3">
        <f t="shared" si="9"/>
        <v>0.256336564570955</v>
      </c>
      <c r="T52" s="3">
        <f t="shared" si="9"/>
        <v>0.245258367316827</v>
      </c>
      <c r="U52" s="3">
        <f t="shared" si="9"/>
        <v>0.234501333735338</v>
      </c>
      <c r="V52" s="3">
        <f t="shared" si="9"/>
        <v>0.220157115442769</v>
      </c>
      <c r="W52" s="3">
        <f t="shared" si="9"/>
        <v>0.206274127467908</v>
      </c>
      <c r="X52" s="3">
        <f t="shared" si="9"/>
        <v>0.192830475899582</v>
      </c>
      <c r="Y52" s="3">
        <f t="shared" si="9"/>
        <v>0.179805630937339</v>
      </c>
      <c r="Z52" s="3">
        <f t="shared" si="9"/>
        <v>0.167180322281424</v>
      </c>
      <c r="AA52" s="3">
        <f t="shared" si="9"/>
        <v>0.153485981085779</v>
      </c>
      <c r="AB52" s="3">
        <f t="shared" si="9"/>
        <v>0.140063800865098</v>
      </c>
      <c r="AC52" s="3">
        <f t="shared" si="9"/>
        <v>0.126905748068634</v>
      </c>
      <c r="AD52" s="3">
        <f t="shared" si="9"/>
        <v>0.114004102240356</v>
      </c>
      <c r="AE52" s="3">
        <f t="shared" si="9"/>
        <v>0.101351440913172</v>
      </c>
      <c r="AF52" s="3">
        <f t="shared" si="9"/>
        <v>0.0960673507271726</v>
      </c>
      <c r="AG52" s="3">
        <f t="shared" si="9"/>
        <v>0.090865040827244</v>
      </c>
      <c r="AH52" s="3">
        <f t="shared" si="8"/>
        <v>0.0857426272584859</v>
      </c>
      <c r="AI52" s="3">
        <f t="shared" si="8"/>
        <v>0.0806982834920471</v>
      </c>
      <c r="AJ52" s="3">
        <f t="shared" si="8"/>
        <v>0.0757302382536226</v>
      </c>
    </row>
    <row r="53" spans="1:36">
      <c r="A53" t="str">
        <f>"recycling_archetype_"&amp;TEXT(ROUND(Table26[[#This Row],[2016]],3),"0.000")</f>
        <v>recycling_archetype_0.360</v>
      </c>
      <c r="B53" s="3">
        <f t="shared" si="2"/>
        <v>0.36</v>
      </c>
      <c r="C53" s="3">
        <f t="shared" si="10"/>
        <v>0.36</v>
      </c>
      <c r="D53" s="3">
        <f t="shared" si="10"/>
        <v>0.36</v>
      </c>
      <c r="E53" s="3">
        <f t="shared" si="10"/>
        <v>0.352384689714211</v>
      </c>
      <c r="F53" s="3">
        <f t="shared" si="10"/>
        <v>0.345131296635974</v>
      </c>
      <c r="G53" s="3">
        <f t="shared" si="10"/>
        <v>0.338214619467019</v>
      </c>
      <c r="H53" s="3">
        <f t="shared" si="10"/>
        <v>0.3316117436142</v>
      </c>
      <c r="I53" s="3">
        <f t="shared" si="10"/>
        <v>0.325301787579833</v>
      </c>
      <c r="J53" s="3">
        <f t="shared" si="10"/>
        <v>0.319265682371857</v>
      </c>
      <c r="K53" s="3">
        <f t="shared" si="10"/>
        <v>0.313485979024662</v>
      </c>
      <c r="L53" s="3">
        <f t="shared" si="10"/>
        <v>0.3079466801382</v>
      </c>
      <c r="M53" s="3">
        <f t="shared" si="10"/>
        <v>0.302633092010007</v>
      </c>
      <c r="N53" s="3">
        <f t="shared" si="10"/>
        <v>0.297531694481928</v>
      </c>
      <c r="O53" s="3">
        <f t="shared" si="10"/>
        <v>0.292630026074051</v>
      </c>
      <c r="P53" s="3">
        <f t="shared" si="10"/>
        <v>0.287916582351267</v>
      </c>
      <c r="Q53" s="3">
        <f t="shared" si="10"/>
        <v>0.275993339913817</v>
      </c>
      <c r="R53" s="3">
        <f t="shared" si="10"/>
        <v>0.264431474324302</v>
      </c>
      <c r="S53" s="3">
        <f t="shared" si="9"/>
        <v>0.253214801597407</v>
      </c>
      <c r="T53" s="3">
        <f t="shared" si="9"/>
        <v>0.24232808991694</v>
      </c>
      <c r="U53" s="3">
        <f t="shared" si="9"/>
        <v>0.231756990625931</v>
      </c>
      <c r="V53" s="3">
        <f t="shared" si="9"/>
        <v>0.217660710766435</v>
      </c>
      <c r="W53" s="3">
        <f t="shared" si="9"/>
        <v>0.204017688902983</v>
      </c>
      <c r="X53" s="3">
        <f t="shared" si="9"/>
        <v>0.190806409558548</v>
      </c>
      <c r="Y53" s="3">
        <f t="shared" si="9"/>
        <v>0.178006697788305</v>
      </c>
      <c r="Z53" s="3">
        <f t="shared" si="9"/>
        <v>0.165599616377777</v>
      </c>
      <c r="AA53" s="3">
        <f t="shared" si="9"/>
        <v>0.152141980552112</v>
      </c>
      <c r="AB53" s="3">
        <f t="shared" si="9"/>
        <v>0.138951801425145</v>
      </c>
      <c r="AC53" s="3">
        <f t="shared" si="9"/>
        <v>0.12602118430528</v>
      </c>
      <c r="AD53" s="3">
        <f t="shared" si="9"/>
        <v>0.113342542183825</v>
      </c>
      <c r="AE53" s="3">
        <f t="shared" si="9"/>
        <v>0.100908580890319</v>
      </c>
      <c r="AF53" s="3">
        <f t="shared" si="9"/>
        <v>0.0957158256947812</v>
      </c>
      <c r="AG53" s="3">
        <f t="shared" si="9"/>
        <v>0.0906034372209381</v>
      </c>
      <c r="AH53" s="3">
        <f t="shared" si="8"/>
        <v>0.0855695640778684</v>
      </c>
      <c r="AI53" s="3">
        <f t="shared" si="8"/>
        <v>0.0806124113080962</v>
      </c>
      <c r="AJ53" s="3">
        <f t="shared" si="8"/>
        <v>0.0757302382536226</v>
      </c>
    </row>
    <row r="54" spans="1:36">
      <c r="A54" t="str">
        <f>"recycling_archetype_"&amp;TEXT(ROUND(Table26[[#This Row],[2016]],3),"0.000")</f>
        <v>recycling_archetype_0.355</v>
      </c>
      <c r="B54" s="3">
        <f t="shared" si="2"/>
        <v>0.355</v>
      </c>
      <c r="C54" s="3">
        <f t="shared" si="10"/>
        <v>0.355</v>
      </c>
      <c r="D54" s="3">
        <f t="shared" si="10"/>
        <v>0.355</v>
      </c>
      <c r="E54" s="3">
        <f t="shared" si="10"/>
        <v>0.347518634848562</v>
      </c>
      <c r="F54" s="3">
        <f t="shared" si="10"/>
        <v>0.340392821169443</v>
      </c>
      <c r="G54" s="3">
        <f t="shared" si="10"/>
        <v>0.333597800928162</v>
      </c>
      <c r="H54" s="3">
        <f t="shared" si="10"/>
        <v>0.327111062574672</v>
      </c>
      <c r="I54" s="3">
        <f t="shared" si="10"/>
        <v>0.320912091894421</v>
      </c>
      <c r="J54" s="3">
        <f t="shared" si="10"/>
        <v>0.314982155298451</v>
      </c>
      <c r="K54" s="3">
        <f t="shared" si="10"/>
        <v>0.30930411072973</v>
      </c>
      <c r="L54" s="3">
        <f t="shared" si="10"/>
        <v>0.303862242165304</v>
      </c>
      <c r="M54" s="3">
        <f t="shared" si="10"/>
        <v>0.298642114349168</v>
      </c>
      <c r="N54" s="3">
        <f t="shared" si="10"/>
        <v>0.293630444928235</v>
      </c>
      <c r="O54" s="3">
        <f t="shared" si="10"/>
        <v>0.288814991606651</v>
      </c>
      <c r="P54" s="3">
        <f t="shared" si="10"/>
        <v>0.284184452299971</v>
      </c>
      <c r="Q54" s="3">
        <f t="shared" si="10"/>
        <v>0.27247092689968</v>
      </c>
      <c r="R54" s="3">
        <f t="shared" si="10"/>
        <v>0.261112422116438</v>
      </c>
      <c r="S54" s="3">
        <f t="shared" si="9"/>
        <v>0.25009303862386</v>
      </c>
      <c r="T54" s="3">
        <f t="shared" si="9"/>
        <v>0.239397812517053</v>
      </c>
      <c r="U54" s="3">
        <f t="shared" si="9"/>
        <v>0.229012647516523</v>
      </c>
      <c r="V54" s="3">
        <f t="shared" si="9"/>
        <v>0.215164306090101</v>
      </c>
      <c r="W54" s="3">
        <f t="shared" si="9"/>
        <v>0.201761250338057</v>
      </c>
      <c r="X54" s="3">
        <f t="shared" si="9"/>
        <v>0.188782343217514</v>
      </c>
      <c r="Y54" s="3">
        <f t="shared" si="9"/>
        <v>0.176207764639272</v>
      </c>
      <c r="Z54" s="3">
        <f t="shared" si="9"/>
        <v>0.16401891047413</v>
      </c>
      <c r="AA54" s="3">
        <f t="shared" si="9"/>
        <v>0.150797980018445</v>
      </c>
      <c r="AB54" s="3">
        <f t="shared" si="9"/>
        <v>0.137839801985191</v>
      </c>
      <c r="AC54" s="3">
        <f t="shared" si="9"/>
        <v>0.125136620541925</v>
      </c>
      <c r="AD54" s="3">
        <f t="shared" si="9"/>
        <v>0.112680982127294</v>
      </c>
      <c r="AE54" s="3">
        <f t="shared" si="9"/>
        <v>0.100465720867465</v>
      </c>
      <c r="AF54" s="3">
        <f t="shared" si="9"/>
        <v>0.0953643006623897</v>
      </c>
      <c r="AG54" s="3">
        <f t="shared" si="9"/>
        <v>0.0903418336146322</v>
      </c>
      <c r="AH54" s="3">
        <f t="shared" si="8"/>
        <v>0.0853965008972508</v>
      </c>
      <c r="AI54" s="3">
        <f t="shared" si="8"/>
        <v>0.0805265391241453</v>
      </c>
      <c r="AJ54" s="3">
        <f t="shared" si="8"/>
        <v>0.0757302382536226</v>
      </c>
    </row>
    <row r="55" spans="1:36">
      <c r="A55" t="str">
        <f>"recycling_archetype_"&amp;TEXT(ROUND(Table26[[#This Row],[2016]],3),"0.000")</f>
        <v>recycling_archetype_0.350</v>
      </c>
      <c r="B55" s="3">
        <f t="shared" si="2"/>
        <v>0.35</v>
      </c>
      <c r="C55" s="3">
        <f t="shared" si="10"/>
        <v>0.35</v>
      </c>
      <c r="D55" s="3">
        <f t="shared" si="10"/>
        <v>0.35</v>
      </c>
      <c r="E55" s="3">
        <f t="shared" si="10"/>
        <v>0.342652579982912</v>
      </c>
      <c r="F55" s="3">
        <f t="shared" si="10"/>
        <v>0.335654345702912</v>
      </c>
      <c r="G55" s="3">
        <f t="shared" si="10"/>
        <v>0.328980982389306</v>
      </c>
      <c r="H55" s="3">
        <f t="shared" si="10"/>
        <v>0.322610381535145</v>
      </c>
      <c r="I55" s="3">
        <f t="shared" si="10"/>
        <v>0.31652239620901</v>
      </c>
      <c r="J55" s="3">
        <f t="shared" si="10"/>
        <v>0.310698628225046</v>
      </c>
      <c r="K55" s="3">
        <f t="shared" si="10"/>
        <v>0.305122242434797</v>
      </c>
      <c r="L55" s="3">
        <f t="shared" si="10"/>
        <v>0.299777804192408</v>
      </c>
      <c r="M55" s="3">
        <f t="shared" si="10"/>
        <v>0.294651136688328</v>
      </c>
      <c r="N55" s="3">
        <f t="shared" si="10"/>
        <v>0.289729195374542</v>
      </c>
      <c r="O55" s="3">
        <f t="shared" si="10"/>
        <v>0.284999957139251</v>
      </c>
      <c r="P55" s="3">
        <f t="shared" si="10"/>
        <v>0.280452322248676</v>
      </c>
      <c r="Q55" s="3">
        <f t="shared" si="10"/>
        <v>0.268948513885543</v>
      </c>
      <c r="R55" s="3">
        <f t="shared" si="10"/>
        <v>0.257793369908574</v>
      </c>
      <c r="S55" s="3">
        <f t="shared" si="9"/>
        <v>0.246971275650313</v>
      </c>
      <c r="T55" s="3">
        <f t="shared" si="9"/>
        <v>0.236467535117167</v>
      </c>
      <c r="U55" s="3">
        <f t="shared" si="9"/>
        <v>0.226268304407116</v>
      </c>
      <c r="V55" s="3">
        <f t="shared" si="9"/>
        <v>0.212667901413767</v>
      </c>
      <c r="W55" s="3">
        <f t="shared" si="9"/>
        <v>0.199504811773131</v>
      </c>
      <c r="X55" s="3">
        <f t="shared" si="9"/>
        <v>0.186758276876479</v>
      </c>
      <c r="Y55" s="3">
        <f t="shared" si="9"/>
        <v>0.174408831490238</v>
      </c>
      <c r="Z55" s="3">
        <f t="shared" si="9"/>
        <v>0.162438204570483</v>
      </c>
      <c r="AA55" s="3">
        <f t="shared" si="9"/>
        <v>0.149453979484778</v>
      </c>
      <c r="AB55" s="3">
        <f t="shared" si="9"/>
        <v>0.136727802545238</v>
      </c>
      <c r="AC55" s="3">
        <f t="shared" si="9"/>
        <v>0.124252056778571</v>
      </c>
      <c r="AD55" s="3">
        <f t="shared" si="9"/>
        <v>0.112019422070763</v>
      </c>
      <c r="AE55" s="3">
        <f t="shared" si="9"/>
        <v>0.100022860844612</v>
      </c>
      <c r="AF55" s="3">
        <f t="shared" si="9"/>
        <v>0.0950127756299983</v>
      </c>
      <c r="AG55" s="3">
        <f t="shared" si="9"/>
        <v>0.0900802300083263</v>
      </c>
      <c r="AH55" s="3">
        <f t="shared" si="8"/>
        <v>0.0852234377166332</v>
      </c>
      <c r="AI55" s="3">
        <f t="shared" si="8"/>
        <v>0.0804406669401944</v>
      </c>
      <c r="AJ55" s="3">
        <f t="shared" si="8"/>
        <v>0.0757302382536226</v>
      </c>
    </row>
    <row r="56" spans="1:36">
      <c r="A56" t="str">
        <f>"recycling_archetype_"&amp;TEXT(ROUND(Table26[[#This Row],[2016]],3),"0.000")</f>
        <v>recycling_archetype_0.345</v>
      </c>
      <c r="B56" s="3">
        <f t="shared" si="2"/>
        <v>0.345</v>
      </c>
      <c r="C56" s="3">
        <f t="shared" si="10"/>
        <v>0.345</v>
      </c>
      <c r="D56" s="3">
        <f t="shared" si="10"/>
        <v>0.345</v>
      </c>
      <c r="E56" s="3">
        <f t="shared" si="10"/>
        <v>0.337786525117263</v>
      </c>
      <c r="F56" s="3">
        <f t="shared" si="10"/>
        <v>0.330915870236382</v>
      </c>
      <c r="G56" s="3">
        <f t="shared" si="10"/>
        <v>0.324364163850449</v>
      </c>
      <c r="H56" s="3">
        <f t="shared" si="10"/>
        <v>0.318109700495618</v>
      </c>
      <c r="I56" s="3">
        <f t="shared" si="10"/>
        <v>0.312132700523598</v>
      </c>
      <c r="J56" s="3">
        <f t="shared" si="10"/>
        <v>0.30641510115164</v>
      </c>
      <c r="K56" s="3">
        <f t="shared" si="10"/>
        <v>0.300940374139865</v>
      </c>
      <c r="L56" s="3">
        <f t="shared" si="10"/>
        <v>0.295693366219513</v>
      </c>
      <c r="M56" s="3">
        <f t="shared" si="10"/>
        <v>0.290660159027489</v>
      </c>
      <c r="N56" s="3">
        <f t="shared" si="10"/>
        <v>0.285827945820849</v>
      </c>
      <c r="O56" s="3">
        <f t="shared" si="10"/>
        <v>0.28118492267185</v>
      </c>
      <c r="P56" s="3">
        <f t="shared" si="10"/>
        <v>0.276720192197381</v>
      </c>
      <c r="Q56" s="3">
        <f t="shared" si="10"/>
        <v>0.265426100871407</v>
      </c>
      <c r="R56" s="3">
        <f t="shared" si="10"/>
        <v>0.254474317700709</v>
      </c>
      <c r="S56" s="3">
        <f t="shared" si="9"/>
        <v>0.243849512676766</v>
      </c>
      <c r="T56" s="3">
        <f t="shared" si="9"/>
        <v>0.23353725771728</v>
      </c>
      <c r="U56" s="3">
        <f t="shared" si="9"/>
        <v>0.223523961297709</v>
      </c>
      <c r="V56" s="3">
        <f t="shared" si="9"/>
        <v>0.210171496737433</v>
      </c>
      <c r="W56" s="3">
        <f t="shared" si="9"/>
        <v>0.197248373208205</v>
      </c>
      <c r="X56" s="3">
        <f t="shared" si="9"/>
        <v>0.184734210535445</v>
      </c>
      <c r="Y56" s="3">
        <f t="shared" si="9"/>
        <v>0.172609898341205</v>
      </c>
      <c r="Z56" s="3">
        <f t="shared" si="9"/>
        <v>0.160857498666836</v>
      </c>
      <c r="AA56" s="3">
        <f t="shared" si="9"/>
        <v>0.148109978951112</v>
      </c>
      <c r="AB56" s="3">
        <f t="shared" si="9"/>
        <v>0.135615803105285</v>
      </c>
      <c r="AC56" s="3">
        <f t="shared" si="9"/>
        <v>0.123367493015216</v>
      </c>
      <c r="AD56" s="3">
        <f t="shared" si="9"/>
        <v>0.111357862014232</v>
      </c>
      <c r="AE56" s="3">
        <f t="shared" si="9"/>
        <v>0.0995800008217589</v>
      </c>
      <c r="AF56" s="3">
        <f t="shared" si="9"/>
        <v>0.0946612505976069</v>
      </c>
      <c r="AG56" s="3">
        <f t="shared" si="9"/>
        <v>0.0898186264020203</v>
      </c>
      <c r="AH56" s="3">
        <f t="shared" si="8"/>
        <v>0.0850503745360156</v>
      </c>
      <c r="AI56" s="3">
        <f t="shared" si="8"/>
        <v>0.0803547947562435</v>
      </c>
      <c r="AJ56" s="3">
        <f t="shared" si="8"/>
        <v>0.0757302382536226</v>
      </c>
    </row>
    <row r="57" spans="1:36">
      <c r="A57" t="str">
        <f>"recycling_archetype_"&amp;TEXT(ROUND(Table26[[#This Row],[2016]],3),"0.000")</f>
        <v>recycling_archetype_0.340</v>
      </c>
      <c r="B57" s="3">
        <f t="shared" si="2"/>
        <v>0.34</v>
      </c>
      <c r="C57" s="3">
        <f t="shared" si="10"/>
        <v>0.34</v>
      </c>
      <c r="D57" s="3">
        <f t="shared" si="10"/>
        <v>0.34</v>
      </c>
      <c r="E57" s="3">
        <f t="shared" si="10"/>
        <v>0.332920470251614</v>
      </c>
      <c r="F57" s="3">
        <f t="shared" si="10"/>
        <v>0.326177394769851</v>
      </c>
      <c r="G57" s="3">
        <f t="shared" si="10"/>
        <v>0.319747345311593</v>
      </c>
      <c r="H57" s="3">
        <f t="shared" si="10"/>
        <v>0.31360901945609</v>
      </c>
      <c r="I57" s="3">
        <f t="shared" si="10"/>
        <v>0.307743004838186</v>
      </c>
      <c r="J57" s="3">
        <f t="shared" si="10"/>
        <v>0.302131574078235</v>
      </c>
      <c r="K57" s="3">
        <f t="shared" si="10"/>
        <v>0.296758505844932</v>
      </c>
      <c r="L57" s="3">
        <f t="shared" si="10"/>
        <v>0.291608928246617</v>
      </c>
      <c r="M57" s="3">
        <f t="shared" si="10"/>
        <v>0.28666918136665</v>
      </c>
      <c r="N57" s="3">
        <f t="shared" si="10"/>
        <v>0.281926696267155</v>
      </c>
      <c r="O57" s="3">
        <f t="shared" si="10"/>
        <v>0.27736988820445</v>
      </c>
      <c r="P57" s="3">
        <f t="shared" si="10"/>
        <v>0.272988062146085</v>
      </c>
      <c r="Q57" s="3">
        <f t="shared" si="10"/>
        <v>0.26190368785727</v>
      </c>
      <c r="R57" s="3">
        <f t="shared" si="10"/>
        <v>0.251155265492845</v>
      </c>
      <c r="S57" s="3">
        <f t="shared" si="9"/>
        <v>0.240727749703219</v>
      </c>
      <c r="T57" s="3">
        <f t="shared" si="9"/>
        <v>0.230606980317393</v>
      </c>
      <c r="U57" s="3">
        <f t="shared" si="9"/>
        <v>0.220779618188301</v>
      </c>
      <c r="V57" s="3">
        <f t="shared" si="9"/>
        <v>0.207675092061098</v>
      </c>
      <c r="W57" s="3">
        <f t="shared" si="9"/>
        <v>0.194991934643279</v>
      </c>
      <c r="X57" s="3">
        <f t="shared" si="9"/>
        <v>0.182710144194411</v>
      </c>
      <c r="Y57" s="3">
        <f t="shared" si="9"/>
        <v>0.170810965192171</v>
      </c>
      <c r="Z57" s="3">
        <f t="shared" si="9"/>
        <v>0.15927679276319</v>
      </c>
      <c r="AA57" s="3">
        <f t="shared" si="9"/>
        <v>0.146765978417445</v>
      </c>
      <c r="AB57" s="3">
        <f t="shared" si="9"/>
        <v>0.134503803665332</v>
      </c>
      <c r="AC57" s="3">
        <f t="shared" si="9"/>
        <v>0.122482929251861</v>
      </c>
      <c r="AD57" s="3">
        <f t="shared" si="9"/>
        <v>0.110696301957701</v>
      </c>
      <c r="AE57" s="3">
        <f t="shared" si="9"/>
        <v>0.0991371407989057</v>
      </c>
      <c r="AF57" s="3">
        <f t="shared" si="9"/>
        <v>0.0943097255652155</v>
      </c>
      <c r="AG57" s="3">
        <f t="shared" si="9"/>
        <v>0.0895570227957144</v>
      </c>
      <c r="AH57" s="3">
        <f t="shared" si="8"/>
        <v>0.0848773113553981</v>
      </c>
      <c r="AI57" s="3">
        <f t="shared" si="8"/>
        <v>0.0802689225722926</v>
      </c>
      <c r="AJ57" s="3">
        <f t="shared" si="8"/>
        <v>0.0757302382536226</v>
      </c>
    </row>
    <row r="58" spans="1:36">
      <c r="A58" t="str">
        <f>"recycling_archetype_"&amp;TEXT(ROUND(Table26[[#This Row],[2016]],3),"0.000")</f>
        <v>recycling_archetype_0.335</v>
      </c>
      <c r="B58" s="3">
        <f t="shared" si="2"/>
        <v>0.335</v>
      </c>
      <c r="C58" s="3">
        <f t="shared" si="10"/>
        <v>0.335</v>
      </c>
      <c r="D58" s="3">
        <f t="shared" si="10"/>
        <v>0.335</v>
      </c>
      <c r="E58" s="3">
        <f t="shared" si="10"/>
        <v>0.328054415385964</v>
      </c>
      <c r="F58" s="3">
        <f t="shared" si="10"/>
        <v>0.32143891930332</v>
      </c>
      <c r="G58" s="3">
        <f t="shared" si="10"/>
        <v>0.315130526772736</v>
      </c>
      <c r="H58" s="3">
        <f t="shared" si="10"/>
        <v>0.309108338416563</v>
      </c>
      <c r="I58" s="3">
        <f t="shared" si="10"/>
        <v>0.303353309152775</v>
      </c>
      <c r="J58" s="3">
        <f t="shared" si="10"/>
        <v>0.297848047004829</v>
      </c>
      <c r="K58" s="3">
        <f t="shared" si="10"/>
        <v>0.29257663755</v>
      </c>
      <c r="L58" s="3">
        <f t="shared" si="10"/>
        <v>0.287524490273722</v>
      </c>
      <c r="M58" s="3">
        <f t="shared" si="10"/>
        <v>0.28267820370581</v>
      </c>
      <c r="N58" s="3">
        <f t="shared" si="10"/>
        <v>0.278025446713462</v>
      </c>
      <c r="O58" s="3">
        <f t="shared" si="10"/>
        <v>0.273554853737049</v>
      </c>
      <c r="P58" s="3">
        <f t="shared" si="10"/>
        <v>0.26925593209479</v>
      </c>
      <c r="Q58" s="3">
        <f t="shared" si="10"/>
        <v>0.258381274843133</v>
      </c>
      <c r="R58" s="3">
        <f t="shared" si="10"/>
        <v>0.24783621328498</v>
      </c>
      <c r="S58" s="3">
        <f t="shared" si="9"/>
        <v>0.237605986729671</v>
      </c>
      <c r="T58" s="3">
        <f t="shared" si="9"/>
        <v>0.227676702917507</v>
      </c>
      <c r="U58" s="3">
        <f t="shared" si="9"/>
        <v>0.218035275078894</v>
      </c>
      <c r="V58" s="3">
        <f t="shared" si="9"/>
        <v>0.205178687384764</v>
      </c>
      <c r="W58" s="3">
        <f t="shared" si="9"/>
        <v>0.192735496078354</v>
      </c>
      <c r="X58" s="3">
        <f t="shared" si="9"/>
        <v>0.180686077853377</v>
      </c>
      <c r="Y58" s="3">
        <f t="shared" si="9"/>
        <v>0.169012032043138</v>
      </c>
      <c r="Z58" s="3">
        <f t="shared" si="9"/>
        <v>0.157696086859543</v>
      </c>
      <c r="AA58" s="3">
        <f t="shared" si="9"/>
        <v>0.145421977883778</v>
      </c>
      <c r="AB58" s="3">
        <f t="shared" si="9"/>
        <v>0.133391804225378</v>
      </c>
      <c r="AC58" s="3">
        <f t="shared" si="9"/>
        <v>0.121598365488507</v>
      </c>
      <c r="AD58" s="3">
        <f t="shared" si="9"/>
        <v>0.110034741901169</v>
      </c>
      <c r="AE58" s="3">
        <f t="shared" si="9"/>
        <v>0.0986942807760525</v>
      </c>
      <c r="AF58" s="3">
        <f t="shared" si="9"/>
        <v>0.0939582005328241</v>
      </c>
      <c r="AG58" s="3">
        <f t="shared" si="9"/>
        <v>0.0892954191894085</v>
      </c>
      <c r="AH58" s="3">
        <f t="shared" si="8"/>
        <v>0.0847042481747805</v>
      </c>
      <c r="AI58" s="3">
        <f t="shared" si="8"/>
        <v>0.0801830503883416</v>
      </c>
      <c r="AJ58" s="3">
        <f t="shared" si="8"/>
        <v>0.0757302382536226</v>
      </c>
    </row>
    <row r="59" spans="1:36">
      <c r="A59" t="str">
        <f>"recycling_archetype_"&amp;TEXT(ROUND(Table26[[#This Row],[2016]],3),"0.000")</f>
        <v>recycling_archetype_0.330</v>
      </c>
      <c r="B59" s="3">
        <f t="shared" si="2"/>
        <v>0.33</v>
      </c>
      <c r="C59" s="3">
        <f t="shared" si="10"/>
        <v>0.33</v>
      </c>
      <c r="D59" s="3">
        <f t="shared" si="10"/>
        <v>0.33</v>
      </c>
      <c r="E59" s="3">
        <f t="shared" si="10"/>
        <v>0.323188360520315</v>
      </c>
      <c r="F59" s="3">
        <f t="shared" si="10"/>
        <v>0.316700443836789</v>
      </c>
      <c r="G59" s="3">
        <f t="shared" si="10"/>
        <v>0.31051370823388</v>
      </c>
      <c r="H59" s="3">
        <f t="shared" si="10"/>
        <v>0.304607657377035</v>
      </c>
      <c r="I59" s="3">
        <f t="shared" si="10"/>
        <v>0.298963613467363</v>
      </c>
      <c r="J59" s="3">
        <f t="shared" si="10"/>
        <v>0.293564519931423</v>
      </c>
      <c r="K59" s="3">
        <f t="shared" si="10"/>
        <v>0.288394769255067</v>
      </c>
      <c r="L59" s="3">
        <f t="shared" si="10"/>
        <v>0.283440052300826</v>
      </c>
      <c r="M59" s="3">
        <f t="shared" si="10"/>
        <v>0.278687226044971</v>
      </c>
      <c r="N59" s="3">
        <f t="shared" si="10"/>
        <v>0.274124197159769</v>
      </c>
      <c r="O59" s="3">
        <f t="shared" si="10"/>
        <v>0.269739819269649</v>
      </c>
      <c r="P59" s="3">
        <f t="shared" si="10"/>
        <v>0.265523802043495</v>
      </c>
      <c r="Q59" s="3">
        <f t="shared" si="10"/>
        <v>0.254858861828997</v>
      </c>
      <c r="R59" s="3">
        <f t="shared" si="10"/>
        <v>0.244517161077116</v>
      </c>
      <c r="S59" s="3">
        <f t="shared" si="9"/>
        <v>0.234484223756124</v>
      </c>
      <c r="T59" s="3">
        <f t="shared" si="9"/>
        <v>0.22474642551762</v>
      </c>
      <c r="U59" s="3">
        <f t="shared" si="9"/>
        <v>0.215290931969487</v>
      </c>
      <c r="V59" s="3">
        <f t="shared" si="9"/>
        <v>0.20268228270843</v>
      </c>
      <c r="W59" s="3">
        <f t="shared" si="9"/>
        <v>0.190479057513428</v>
      </c>
      <c r="X59" s="3">
        <f t="shared" si="9"/>
        <v>0.178662011512343</v>
      </c>
      <c r="Y59" s="3">
        <f t="shared" si="9"/>
        <v>0.167213098894104</v>
      </c>
      <c r="Z59" s="3">
        <f t="shared" si="9"/>
        <v>0.156115380955896</v>
      </c>
      <c r="AA59" s="3">
        <f t="shared" si="9"/>
        <v>0.144077977350112</v>
      </c>
      <c r="AB59" s="3">
        <f t="shared" si="9"/>
        <v>0.132279804785425</v>
      </c>
      <c r="AC59" s="3">
        <f t="shared" si="9"/>
        <v>0.120713801725152</v>
      </c>
      <c r="AD59" s="3">
        <f t="shared" si="9"/>
        <v>0.109373181844638</v>
      </c>
      <c r="AE59" s="3">
        <f t="shared" si="9"/>
        <v>0.0982514207531992</v>
      </c>
      <c r="AF59" s="3">
        <f t="shared" si="9"/>
        <v>0.0936066755004327</v>
      </c>
      <c r="AG59" s="3">
        <f t="shared" si="9"/>
        <v>0.0890338155831026</v>
      </c>
      <c r="AH59" s="3">
        <f t="shared" si="8"/>
        <v>0.0845311849941629</v>
      </c>
      <c r="AI59" s="3">
        <f t="shared" si="8"/>
        <v>0.0800971782043907</v>
      </c>
      <c r="AJ59" s="3">
        <f t="shared" si="8"/>
        <v>0.0757302382536226</v>
      </c>
    </row>
    <row r="60" spans="1:36">
      <c r="A60" t="str">
        <f>"recycling_archetype_"&amp;TEXT(ROUND(Table26[[#This Row],[2016]],3),"0.000")</f>
        <v>recycling_archetype_0.325</v>
      </c>
      <c r="B60" s="3">
        <f t="shared" si="2"/>
        <v>0.325</v>
      </c>
      <c r="C60" s="3">
        <f t="shared" si="10"/>
        <v>0.325</v>
      </c>
      <c r="D60" s="3">
        <f t="shared" si="10"/>
        <v>0.325</v>
      </c>
      <c r="E60" s="3">
        <f t="shared" si="10"/>
        <v>0.318322305654666</v>
      </c>
      <c r="F60" s="3">
        <f t="shared" si="10"/>
        <v>0.311961968370259</v>
      </c>
      <c r="G60" s="3">
        <f t="shared" si="10"/>
        <v>0.305896889695024</v>
      </c>
      <c r="H60" s="3">
        <f t="shared" si="10"/>
        <v>0.300106976337508</v>
      </c>
      <c r="I60" s="3">
        <f t="shared" si="10"/>
        <v>0.294573917781952</v>
      </c>
      <c r="J60" s="3">
        <f t="shared" si="10"/>
        <v>0.289280992858018</v>
      </c>
      <c r="K60" s="3">
        <f t="shared" si="10"/>
        <v>0.284212900960135</v>
      </c>
      <c r="L60" s="3">
        <f t="shared" si="10"/>
        <v>0.27935561432793</v>
      </c>
      <c r="M60" s="3">
        <f t="shared" si="10"/>
        <v>0.274696248384132</v>
      </c>
      <c r="N60" s="3">
        <f t="shared" si="10"/>
        <v>0.270222947606076</v>
      </c>
      <c r="O60" s="3">
        <f t="shared" si="10"/>
        <v>0.265924784802248</v>
      </c>
      <c r="P60" s="3">
        <f t="shared" si="10"/>
        <v>0.261791671992199</v>
      </c>
      <c r="Q60" s="3">
        <f t="shared" si="10"/>
        <v>0.25133644881486</v>
      </c>
      <c r="R60" s="3">
        <f t="shared" ref="R60:AG75" si="11">(($B60-$AJ$2)*((R$2-$AJ$2)/($B$2-$AJ$2)))+$AJ$2</f>
        <v>0.241198108869252</v>
      </c>
      <c r="S60" s="3">
        <f t="shared" si="11"/>
        <v>0.231362460782577</v>
      </c>
      <c r="T60" s="3">
        <f t="shared" si="11"/>
        <v>0.221816148117733</v>
      </c>
      <c r="U60" s="3">
        <f t="shared" si="11"/>
        <v>0.212546588860079</v>
      </c>
      <c r="V60" s="3">
        <f t="shared" si="11"/>
        <v>0.200185878032096</v>
      </c>
      <c r="W60" s="3">
        <f t="shared" si="11"/>
        <v>0.188222618948502</v>
      </c>
      <c r="X60" s="3">
        <f t="shared" si="11"/>
        <v>0.176637945171309</v>
      </c>
      <c r="Y60" s="3">
        <f t="shared" si="11"/>
        <v>0.165414165745071</v>
      </c>
      <c r="Z60" s="3">
        <f t="shared" si="11"/>
        <v>0.154534675052249</v>
      </c>
      <c r="AA60" s="3">
        <f t="shared" si="11"/>
        <v>0.142733976816445</v>
      </c>
      <c r="AB60" s="3">
        <f t="shared" si="11"/>
        <v>0.131167805345472</v>
      </c>
      <c r="AC60" s="3">
        <f t="shared" si="11"/>
        <v>0.119829237961798</v>
      </c>
      <c r="AD60" s="3">
        <f t="shared" si="11"/>
        <v>0.108711621788107</v>
      </c>
      <c r="AE60" s="3">
        <f t="shared" si="11"/>
        <v>0.097808560730346</v>
      </c>
      <c r="AF60" s="3">
        <f t="shared" si="11"/>
        <v>0.0932551504680413</v>
      </c>
      <c r="AG60" s="3">
        <f t="shared" si="11"/>
        <v>0.0887722119767967</v>
      </c>
      <c r="AH60" s="3">
        <f t="shared" si="8"/>
        <v>0.0843581218135453</v>
      </c>
      <c r="AI60" s="3">
        <f t="shared" si="8"/>
        <v>0.0800113060204398</v>
      </c>
      <c r="AJ60" s="3">
        <f t="shared" si="8"/>
        <v>0.0757302382536226</v>
      </c>
    </row>
    <row r="61" spans="1:36">
      <c r="A61" t="str">
        <f>"recycling_archetype_"&amp;TEXT(ROUND(Table26[[#This Row],[2016]],3),"0.000")</f>
        <v>recycling_archetype_0.320</v>
      </c>
      <c r="B61" s="3">
        <f t="shared" si="2"/>
        <v>0.32</v>
      </c>
      <c r="C61" s="3">
        <f t="shared" ref="C61:R76" si="12">(($B61-$AJ$2)*((C$2-$AJ$2)/($B$2-$AJ$2)))+$AJ$2</f>
        <v>0.32</v>
      </c>
      <c r="D61" s="3">
        <f t="shared" si="12"/>
        <v>0.32</v>
      </c>
      <c r="E61" s="3">
        <f t="shared" si="12"/>
        <v>0.313456250789016</v>
      </c>
      <c r="F61" s="3">
        <f t="shared" si="12"/>
        <v>0.307223492903728</v>
      </c>
      <c r="G61" s="3">
        <f t="shared" si="12"/>
        <v>0.301280071156167</v>
      </c>
      <c r="H61" s="3">
        <f t="shared" si="12"/>
        <v>0.295606295297981</v>
      </c>
      <c r="I61" s="3">
        <f t="shared" si="12"/>
        <v>0.29018422209654</v>
      </c>
      <c r="J61" s="3">
        <f t="shared" si="12"/>
        <v>0.284997465784612</v>
      </c>
      <c r="K61" s="3">
        <f t="shared" si="12"/>
        <v>0.280031032665202</v>
      </c>
      <c r="L61" s="3">
        <f t="shared" si="12"/>
        <v>0.275271176355035</v>
      </c>
      <c r="M61" s="3">
        <f t="shared" si="12"/>
        <v>0.270705270723292</v>
      </c>
      <c r="N61" s="3">
        <f t="shared" si="12"/>
        <v>0.266321698052382</v>
      </c>
      <c r="O61" s="3">
        <f t="shared" si="12"/>
        <v>0.262109750334848</v>
      </c>
      <c r="P61" s="3">
        <f t="shared" si="12"/>
        <v>0.258059541940904</v>
      </c>
      <c r="Q61" s="3">
        <f t="shared" si="12"/>
        <v>0.247814035800723</v>
      </c>
      <c r="R61" s="3">
        <f t="shared" si="12"/>
        <v>0.237879056661387</v>
      </c>
      <c r="S61" s="3">
        <f t="shared" si="11"/>
        <v>0.22824069780903</v>
      </c>
      <c r="T61" s="3">
        <f t="shared" si="11"/>
        <v>0.218885870717847</v>
      </c>
      <c r="U61" s="3">
        <f t="shared" si="11"/>
        <v>0.209802245750672</v>
      </c>
      <c r="V61" s="3">
        <f t="shared" si="11"/>
        <v>0.197689473355762</v>
      </c>
      <c r="W61" s="3">
        <f t="shared" si="11"/>
        <v>0.185966180383576</v>
      </c>
      <c r="X61" s="3">
        <f t="shared" si="11"/>
        <v>0.174613878830275</v>
      </c>
      <c r="Y61" s="3">
        <f t="shared" si="11"/>
        <v>0.163615232596037</v>
      </c>
      <c r="Z61" s="3">
        <f t="shared" si="11"/>
        <v>0.152953969148602</v>
      </c>
      <c r="AA61" s="3">
        <f t="shared" si="11"/>
        <v>0.141389976282778</v>
      </c>
      <c r="AB61" s="3">
        <f t="shared" si="11"/>
        <v>0.130055805905519</v>
      </c>
      <c r="AC61" s="3">
        <f t="shared" si="11"/>
        <v>0.118944674198443</v>
      </c>
      <c r="AD61" s="3">
        <f t="shared" si="11"/>
        <v>0.108050061731576</v>
      </c>
      <c r="AE61" s="3">
        <f t="shared" si="11"/>
        <v>0.0973657007074928</v>
      </c>
      <c r="AF61" s="3">
        <f t="shared" si="11"/>
        <v>0.0929036254356499</v>
      </c>
      <c r="AG61" s="3">
        <f t="shared" si="11"/>
        <v>0.0885106083704907</v>
      </c>
      <c r="AH61" s="3">
        <f t="shared" si="8"/>
        <v>0.0841850586329277</v>
      </c>
      <c r="AI61" s="3">
        <f t="shared" si="8"/>
        <v>0.0799254338364889</v>
      </c>
      <c r="AJ61" s="3">
        <f t="shared" si="8"/>
        <v>0.0757302382536226</v>
      </c>
    </row>
    <row r="62" spans="1:36">
      <c r="A62" t="str">
        <f>"recycling_archetype_"&amp;TEXT(ROUND(Table26[[#This Row],[2016]],3),"0.000")</f>
        <v>recycling_archetype_0.315</v>
      </c>
      <c r="B62" s="3">
        <f t="shared" si="2"/>
        <v>0.315</v>
      </c>
      <c r="C62" s="3">
        <f t="shared" si="12"/>
        <v>0.315</v>
      </c>
      <c r="D62" s="3">
        <f t="shared" si="12"/>
        <v>0.315</v>
      </c>
      <c r="E62" s="3">
        <f t="shared" si="12"/>
        <v>0.308590195923367</v>
      </c>
      <c r="F62" s="3">
        <f t="shared" si="12"/>
        <v>0.302485017437197</v>
      </c>
      <c r="G62" s="3">
        <f t="shared" si="12"/>
        <v>0.296663252617311</v>
      </c>
      <c r="H62" s="3">
        <f t="shared" si="12"/>
        <v>0.291105614258453</v>
      </c>
      <c r="I62" s="3">
        <f t="shared" si="12"/>
        <v>0.285794526411129</v>
      </c>
      <c r="J62" s="3">
        <f t="shared" si="12"/>
        <v>0.280713938711207</v>
      </c>
      <c r="K62" s="3">
        <f t="shared" si="12"/>
        <v>0.27584916437027</v>
      </c>
      <c r="L62" s="3">
        <f t="shared" si="12"/>
        <v>0.271186738382139</v>
      </c>
      <c r="M62" s="3">
        <f t="shared" si="12"/>
        <v>0.266714293062453</v>
      </c>
      <c r="N62" s="3">
        <f t="shared" si="12"/>
        <v>0.262420448498689</v>
      </c>
      <c r="O62" s="3">
        <f t="shared" si="12"/>
        <v>0.258294715867447</v>
      </c>
      <c r="P62" s="3">
        <f t="shared" si="12"/>
        <v>0.254327411889609</v>
      </c>
      <c r="Q62" s="3">
        <f t="shared" si="12"/>
        <v>0.244291622786587</v>
      </c>
      <c r="R62" s="3">
        <f t="shared" si="12"/>
        <v>0.234560004453523</v>
      </c>
      <c r="S62" s="3">
        <f t="shared" si="11"/>
        <v>0.225118934835483</v>
      </c>
      <c r="T62" s="3">
        <f t="shared" si="11"/>
        <v>0.21595559331796</v>
      </c>
      <c r="U62" s="3">
        <f t="shared" si="11"/>
        <v>0.207057902641265</v>
      </c>
      <c r="V62" s="3">
        <f t="shared" si="11"/>
        <v>0.195193068679427</v>
      </c>
      <c r="W62" s="3">
        <f t="shared" si="11"/>
        <v>0.18370974181865</v>
      </c>
      <c r="X62" s="3">
        <f t="shared" si="11"/>
        <v>0.172589812489241</v>
      </c>
      <c r="Y62" s="3">
        <f t="shared" si="11"/>
        <v>0.161816299447004</v>
      </c>
      <c r="Z62" s="3">
        <f t="shared" si="11"/>
        <v>0.151373263244955</v>
      </c>
      <c r="AA62" s="3">
        <f t="shared" si="11"/>
        <v>0.140045975749111</v>
      </c>
      <c r="AB62" s="3">
        <f t="shared" si="11"/>
        <v>0.128943806465566</v>
      </c>
      <c r="AC62" s="3">
        <f t="shared" si="11"/>
        <v>0.118060110435089</v>
      </c>
      <c r="AD62" s="3">
        <f t="shared" si="11"/>
        <v>0.107388501675045</v>
      </c>
      <c r="AE62" s="3">
        <f t="shared" si="11"/>
        <v>0.0969228406846396</v>
      </c>
      <c r="AF62" s="3">
        <f t="shared" si="11"/>
        <v>0.0925521004032585</v>
      </c>
      <c r="AG62" s="3">
        <f t="shared" si="11"/>
        <v>0.0882490047641848</v>
      </c>
      <c r="AH62" s="3">
        <f t="shared" si="8"/>
        <v>0.0840119954523102</v>
      </c>
      <c r="AI62" s="3">
        <f t="shared" si="8"/>
        <v>0.079839561652538</v>
      </c>
      <c r="AJ62" s="3">
        <f t="shared" si="8"/>
        <v>0.0757302382536226</v>
      </c>
    </row>
    <row r="63" spans="1:36">
      <c r="A63" t="str">
        <f>"recycling_archetype_"&amp;TEXT(ROUND(Table26[[#This Row],[2016]],3),"0.000")</f>
        <v>recycling_archetype_0.310</v>
      </c>
      <c r="B63" s="3">
        <f t="shared" si="2"/>
        <v>0.31</v>
      </c>
      <c r="C63" s="3">
        <f t="shared" si="12"/>
        <v>0.31</v>
      </c>
      <c r="D63" s="3">
        <f t="shared" si="12"/>
        <v>0.31</v>
      </c>
      <c r="E63" s="3">
        <f t="shared" si="12"/>
        <v>0.303724141057718</v>
      </c>
      <c r="F63" s="3">
        <f t="shared" si="12"/>
        <v>0.297746541970666</v>
      </c>
      <c r="G63" s="3">
        <f t="shared" si="12"/>
        <v>0.292046434078454</v>
      </c>
      <c r="H63" s="3">
        <f t="shared" si="12"/>
        <v>0.286604933218926</v>
      </c>
      <c r="I63" s="3">
        <f t="shared" si="12"/>
        <v>0.281404830725717</v>
      </c>
      <c r="J63" s="3">
        <f t="shared" si="12"/>
        <v>0.276430411637801</v>
      </c>
      <c r="K63" s="3">
        <f t="shared" si="12"/>
        <v>0.271667296075337</v>
      </c>
      <c r="L63" s="3">
        <f t="shared" si="12"/>
        <v>0.267102300409244</v>
      </c>
      <c r="M63" s="3">
        <f t="shared" si="12"/>
        <v>0.262723315401613</v>
      </c>
      <c r="N63" s="3">
        <f t="shared" si="12"/>
        <v>0.258519198944996</v>
      </c>
      <c r="O63" s="3">
        <f t="shared" si="12"/>
        <v>0.254479681400047</v>
      </c>
      <c r="P63" s="3">
        <f t="shared" si="12"/>
        <v>0.250595281838313</v>
      </c>
      <c r="Q63" s="3">
        <f t="shared" si="12"/>
        <v>0.24076920977245</v>
      </c>
      <c r="R63" s="3">
        <f t="shared" si="12"/>
        <v>0.231240952245658</v>
      </c>
      <c r="S63" s="3">
        <f t="shared" si="11"/>
        <v>0.221997171861935</v>
      </c>
      <c r="T63" s="3">
        <f t="shared" si="11"/>
        <v>0.213025315918073</v>
      </c>
      <c r="U63" s="3">
        <f t="shared" si="11"/>
        <v>0.204313559531857</v>
      </c>
      <c r="V63" s="3">
        <f t="shared" si="11"/>
        <v>0.192696664003093</v>
      </c>
      <c r="W63" s="3">
        <f t="shared" si="11"/>
        <v>0.181453303253724</v>
      </c>
      <c r="X63" s="3">
        <f t="shared" si="11"/>
        <v>0.170565746148207</v>
      </c>
      <c r="Y63" s="3">
        <f t="shared" si="11"/>
        <v>0.16001736629797</v>
      </c>
      <c r="Z63" s="3">
        <f t="shared" si="11"/>
        <v>0.149792557341309</v>
      </c>
      <c r="AA63" s="3">
        <f t="shared" si="11"/>
        <v>0.138701975215445</v>
      </c>
      <c r="AB63" s="3">
        <f t="shared" si="11"/>
        <v>0.127831807025612</v>
      </c>
      <c r="AC63" s="3">
        <f t="shared" si="11"/>
        <v>0.117175546671734</v>
      </c>
      <c r="AD63" s="3">
        <f t="shared" si="11"/>
        <v>0.106726941618514</v>
      </c>
      <c r="AE63" s="3">
        <f t="shared" si="11"/>
        <v>0.0964799806617864</v>
      </c>
      <c r="AF63" s="3">
        <f t="shared" si="11"/>
        <v>0.0922005753708671</v>
      </c>
      <c r="AG63" s="3">
        <f t="shared" si="11"/>
        <v>0.0879874011578789</v>
      </c>
      <c r="AH63" s="3">
        <f t="shared" si="8"/>
        <v>0.0838389322716926</v>
      </c>
      <c r="AI63" s="3">
        <f t="shared" si="8"/>
        <v>0.0797536894685871</v>
      </c>
      <c r="AJ63" s="3">
        <f t="shared" si="8"/>
        <v>0.0757302382536226</v>
      </c>
    </row>
    <row r="64" spans="1:36">
      <c r="A64" t="str">
        <f>"recycling_archetype_"&amp;TEXT(ROUND(Table26[[#This Row],[2016]],3),"0.000")</f>
        <v>recycling_archetype_0.305</v>
      </c>
      <c r="B64" s="3">
        <f t="shared" si="2"/>
        <v>0.305</v>
      </c>
      <c r="C64" s="3">
        <f t="shared" si="12"/>
        <v>0.305</v>
      </c>
      <c r="D64" s="3">
        <f t="shared" si="12"/>
        <v>0.305</v>
      </c>
      <c r="E64" s="3">
        <f t="shared" si="12"/>
        <v>0.298858086192068</v>
      </c>
      <c r="F64" s="3">
        <f t="shared" si="12"/>
        <v>0.293008066504135</v>
      </c>
      <c r="G64" s="3">
        <f t="shared" si="12"/>
        <v>0.287429615539598</v>
      </c>
      <c r="H64" s="3">
        <f t="shared" si="12"/>
        <v>0.282104252179398</v>
      </c>
      <c r="I64" s="3">
        <f t="shared" si="12"/>
        <v>0.277015135040305</v>
      </c>
      <c r="J64" s="3">
        <f t="shared" si="12"/>
        <v>0.272146884564395</v>
      </c>
      <c r="K64" s="3">
        <f t="shared" si="12"/>
        <v>0.267485427780404</v>
      </c>
      <c r="L64" s="3">
        <f t="shared" si="12"/>
        <v>0.263017862436348</v>
      </c>
      <c r="M64" s="3">
        <f t="shared" si="12"/>
        <v>0.258732337740774</v>
      </c>
      <c r="N64" s="3">
        <f t="shared" si="12"/>
        <v>0.254617949391303</v>
      </c>
      <c r="O64" s="3">
        <f t="shared" si="12"/>
        <v>0.250664646932646</v>
      </c>
      <c r="P64" s="3">
        <f t="shared" si="12"/>
        <v>0.246863151787018</v>
      </c>
      <c r="Q64" s="3">
        <f t="shared" si="12"/>
        <v>0.237246796758313</v>
      </c>
      <c r="R64" s="3">
        <f t="shared" si="12"/>
        <v>0.227921900037794</v>
      </c>
      <c r="S64" s="3">
        <f t="shared" si="11"/>
        <v>0.218875408888388</v>
      </c>
      <c r="T64" s="3">
        <f t="shared" si="11"/>
        <v>0.210095038518186</v>
      </c>
      <c r="U64" s="3">
        <f t="shared" si="11"/>
        <v>0.20156921642245</v>
      </c>
      <c r="V64" s="3">
        <f t="shared" si="11"/>
        <v>0.190200259326759</v>
      </c>
      <c r="W64" s="3">
        <f t="shared" si="11"/>
        <v>0.179196864688799</v>
      </c>
      <c r="X64" s="3">
        <f t="shared" si="11"/>
        <v>0.168541679807173</v>
      </c>
      <c r="Y64" s="3">
        <f t="shared" si="11"/>
        <v>0.158218433148937</v>
      </c>
      <c r="Z64" s="3">
        <f t="shared" si="11"/>
        <v>0.148211851437662</v>
      </c>
      <c r="AA64" s="3">
        <f t="shared" si="11"/>
        <v>0.137357974681778</v>
      </c>
      <c r="AB64" s="3">
        <f t="shared" si="11"/>
        <v>0.126719807585659</v>
      </c>
      <c r="AC64" s="3">
        <f t="shared" si="11"/>
        <v>0.116290982908379</v>
      </c>
      <c r="AD64" s="3">
        <f t="shared" si="11"/>
        <v>0.106065381561983</v>
      </c>
      <c r="AE64" s="3">
        <f t="shared" si="11"/>
        <v>0.0960371206389331</v>
      </c>
      <c r="AF64" s="3">
        <f t="shared" si="11"/>
        <v>0.0918490503384757</v>
      </c>
      <c r="AG64" s="3">
        <f t="shared" si="11"/>
        <v>0.087725797551573</v>
      </c>
      <c r="AH64" s="3">
        <f t="shared" si="8"/>
        <v>0.083665869091075</v>
      </c>
      <c r="AI64" s="3">
        <f t="shared" si="8"/>
        <v>0.0796678172846361</v>
      </c>
      <c r="AJ64" s="3">
        <f t="shared" si="8"/>
        <v>0.0757302382536226</v>
      </c>
    </row>
    <row r="65" spans="1:36">
      <c r="A65" t="str">
        <f>"recycling_archetype_"&amp;TEXT(ROUND(Table26[[#This Row],[2016]],3),"0.000")</f>
        <v>recycling_archetype_0.300</v>
      </c>
      <c r="B65" s="3">
        <f t="shared" si="2"/>
        <v>0.3</v>
      </c>
      <c r="C65" s="3">
        <f t="shared" si="12"/>
        <v>0.3</v>
      </c>
      <c r="D65" s="3">
        <f t="shared" si="12"/>
        <v>0.3</v>
      </c>
      <c r="E65" s="3">
        <f t="shared" si="12"/>
        <v>0.293992031326419</v>
      </c>
      <c r="F65" s="3">
        <f t="shared" si="12"/>
        <v>0.288269591037605</v>
      </c>
      <c r="G65" s="3">
        <f t="shared" si="12"/>
        <v>0.282812797000741</v>
      </c>
      <c r="H65" s="3">
        <f t="shared" si="12"/>
        <v>0.277603571139871</v>
      </c>
      <c r="I65" s="3">
        <f t="shared" si="12"/>
        <v>0.272625439354894</v>
      </c>
      <c r="J65" s="3">
        <f t="shared" si="12"/>
        <v>0.26786335749099</v>
      </c>
      <c r="K65" s="3">
        <f t="shared" si="12"/>
        <v>0.263303559485472</v>
      </c>
      <c r="L65" s="3">
        <f t="shared" si="12"/>
        <v>0.258933424463453</v>
      </c>
      <c r="M65" s="3">
        <f t="shared" si="12"/>
        <v>0.254741360079935</v>
      </c>
      <c r="N65" s="3">
        <f t="shared" si="12"/>
        <v>0.25071669983761</v>
      </c>
      <c r="O65" s="3">
        <f t="shared" si="12"/>
        <v>0.246849612465246</v>
      </c>
      <c r="P65" s="3">
        <f t="shared" si="12"/>
        <v>0.243131021735723</v>
      </c>
      <c r="Q65" s="3">
        <f t="shared" si="12"/>
        <v>0.233724383744176</v>
      </c>
      <c r="R65" s="3">
        <f t="shared" si="12"/>
        <v>0.22460284782993</v>
      </c>
      <c r="S65" s="3">
        <f t="shared" si="11"/>
        <v>0.215753645914841</v>
      </c>
      <c r="T65" s="3">
        <f t="shared" si="11"/>
        <v>0.2071647611183</v>
      </c>
      <c r="U65" s="3">
        <f t="shared" si="11"/>
        <v>0.198824873313042</v>
      </c>
      <c r="V65" s="3">
        <f t="shared" si="11"/>
        <v>0.187703854650425</v>
      </c>
      <c r="W65" s="3">
        <f t="shared" si="11"/>
        <v>0.176940426123873</v>
      </c>
      <c r="X65" s="3">
        <f t="shared" si="11"/>
        <v>0.166517613466138</v>
      </c>
      <c r="Y65" s="3">
        <f t="shared" si="11"/>
        <v>0.156419499999903</v>
      </c>
      <c r="Z65" s="3">
        <f t="shared" si="11"/>
        <v>0.146631145534015</v>
      </c>
      <c r="AA65" s="3">
        <f t="shared" si="11"/>
        <v>0.136013974148111</v>
      </c>
      <c r="AB65" s="3">
        <f t="shared" si="11"/>
        <v>0.125607808145706</v>
      </c>
      <c r="AC65" s="3">
        <f t="shared" si="11"/>
        <v>0.115406419145025</v>
      </c>
      <c r="AD65" s="3">
        <f t="shared" si="11"/>
        <v>0.105403821505452</v>
      </c>
      <c r="AE65" s="3">
        <f t="shared" si="11"/>
        <v>0.0955942606160799</v>
      </c>
      <c r="AF65" s="3">
        <f t="shared" si="11"/>
        <v>0.0914975253060843</v>
      </c>
      <c r="AG65" s="3">
        <f t="shared" si="11"/>
        <v>0.087464193945267</v>
      </c>
      <c r="AH65" s="3">
        <f t="shared" si="8"/>
        <v>0.0834928059104574</v>
      </c>
      <c r="AI65" s="3">
        <f t="shared" si="8"/>
        <v>0.0795819451006852</v>
      </c>
      <c r="AJ65" s="3">
        <f t="shared" si="8"/>
        <v>0.0757302382536226</v>
      </c>
    </row>
    <row r="66" spans="1:36">
      <c r="A66" t="str">
        <f>"recycling_archetype_"&amp;TEXT(ROUND(Table26[[#This Row],[2016]],3),"0.000")</f>
        <v>recycling_archetype_0.295</v>
      </c>
      <c r="B66" s="3">
        <f t="shared" si="2"/>
        <v>0.295</v>
      </c>
      <c r="C66" s="3">
        <f t="shared" si="12"/>
        <v>0.295</v>
      </c>
      <c r="D66" s="3">
        <f t="shared" si="12"/>
        <v>0.295</v>
      </c>
      <c r="E66" s="3">
        <f t="shared" si="12"/>
        <v>0.289125976460769</v>
      </c>
      <c r="F66" s="3">
        <f t="shared" si="12"/>
        <v>0.283531115571074</v>
      </c>
      <c r="G66" s="3">
        <f t="shared" si="12"/>
        <v>0.278195978461885</v>
      </c>
      <c r="H66" s="3">
        <f t="shared" si="12"/>
        <v>0.273102890100344</v>
      </c>
      <c r="I66" s="3">
        <f t="shared" si="12"/>
        <v>0.268235743669482</v>
      </c>
      <c r="J66" s="3">
        <f t="shared" si="12"/>
        <v>0.263579830417584</v>
      </c>
      <c r="K66" s="3">
        <f t="shared" si="12"/>
        <v>0.259121691190539</v>
      </c>
      <c r="L66" s="3">
        <f t="shared" si="12"/>
        <v>0.254848986490557</v>
      </c>
      <c r="M66" s="3">
        <f t="shared" si="12"/>
        <v>0.250750382419095</v>
      </c>
      <c r="N66" s="3">
        <f t="shared" si="12"/>
        <v>0.246815450283916</v>
      </c>
      <c r="O66" s="3">
        <f t="shared" si="12"/>
        <v>0.243034577997846</v>
      </c>
      <c r="P66" s="3">
        <f t="shared" si="12"/>
        <v>0.239398891684427</v>
      </c>
      <c r="Q66" s="3">
        <f t="shared" si="12"/>
        <v>0.23020197073004</v>
      </c>
      <c r="R66" s="3">
        <f t="shared" si="12"/>
        <v>0.221283795622065</v>
      </c>
      <c r="S66" s="3">
        <f t="shared" si="11"/>
        <v>0.212631882941294</v>
      </c>
      <c r="T66" s="3">
        <f t="shared" si="11"/>
        <v>0.204234483718413</v>
      </c>
      <c r="U66" s="3">
        <f t="shared" si="11"/>
        <v>0.196080530203635</v>
      </c>
      <c r="V66" s="3">
        <f t="shared" si="11"/>
        <v>0.185207449974091</v>
      </c>
      <c r="W66" s="3">
        <f t="shared" si="11"/>
        <v>0.174683987558947</v>
      </c>
      <c r="X66" s="3">
        <f t="shared" si="11"/>
        <v>0.164493547125104</v>
      </c>
      <c r="Y66" s="3">
        <f t="shared" si="11"/>
        <v>0.15462056685087</v>
      </c>
      <c r="Z66" s="3">
        <f t="shared" si="11"/>
        <v>0.145050439630368</v>
      </c>
      <c r="AA66" s="3">
        <f t="shared" si="11"/>
        <v>0.134669973614444</v>
      </c>
      <c r="AB66" s="3">
        <f t="shared" si="11"/>
        <v>0.124495808705753</v>
      </c>
      <c r="AC66" s="3">
        <f t="shared" si="11"/>
        <v>0.11452185538167</v>
      </c>
      <c r="AD66" s="3">
        <f t="shared" si="11"/>
        <v>0.104742261448921</v>
      </c>
      <c r="AE66" s="3">
        <f t="shared" si="11"/>
        <v>0.0951514005932267</v>
      </c>
      <c r="AF66" s="3">
        <f t="shared" si="11"/>
        <v>0.0911460002736929</v>
      </c>
      <c r="AG66" s="3">
        <f t="shared" si="11"/>
        <v>0.0872025903389611</v>
      </c>
      <c r="AH66" s="3">
        <f t="shared" si="8"/>
        <v>0.0833197427298399</v>
      </c>
      <c r="AI66" s="3">
        <f t="shared" si="8"/>
        <v>0.0794960729167343</v>
      </c>
      <c r="AJ66" s="3">
        <f t="shared" si="8"/>
        <v>0.0757302382536226</v>
      </c>
    </row>
    <row r="67" spans="1:36">
      <c r="A67" t="str">
        <f>"recycling_archetype_"&amp;TEXT(ROUND(Table26[[#This Row],[2016]],3),"0.000")</f>
        <v>recycling_archetype_0.290</v>
      </c>
      <c r="B67" s="3">
        <f t="shared" si="2"/>
        <v>0.29</v>
      </c>
      <c r="C67" s="3">
        <f t="shared" si="12"/>
        <v>0.29</v>
      </c>
      <c r="D67" s="3">
        <f t="shared" si="12"/>
        <v>0.29</v>
      </c>
      <c r="E67" s="3">
        <f t="shared" si="12"/>
        <v>0.28425992159512</v>
      </c>
      <c r="F67" s="3">
        <f t="shared" si="12"/>
        <v>0.278792640104543</v>
      </c>
      <c r="G67" s="3">
        <f t="shared" si="12"/>
        <v>0.273579159923028</v>
      </c>
      <c r="H67" s="3">
        <f t="shared" si="12"/>
        <v>0.268602209060816</v>
      </c>
      <c r="I67" s="3">
        <f t="shared" si="12"/>
        <v>0.263846047984071</v>
      </c>
      <c r="J67" s="3">
        <f t="shared" si="12"/>
        <v>0.259296303344178</v>
      </c>
      <c r="K67" s="3">
        <f t="shared" si="12"/>
        <v>0.254939822895607</v>
      </c>
      <c r="L67" s="3">
        <f t="shared" si="12"/>
        <v>0.250764548517661</v>
      </c>
      <c r="M67" s="3">
        <f t="shared" si="12"/>
        <v>0.246759404758256</v>
      </c>
      <c r="N67" s="3">
        <f t="shared" si="12"/>
        <v>0.242914200730223</v>
      </c>
      <c r="O67" s="3">
        <f t="shared" si="12"/>
        <v>0.239219543530445</v>
      </c>
      <c r="P67" s="3">
        <f t="shared" si="12"/>
        <v>0.235666761633132</v>
      </c>
      <c r="Q67" s="3">
        <f t="shared" si="12"/>
        <v>0.226679557715903</v>
      </c>
      <c r="R67" s="3">
        <f t="shared" si="12"/>
        <v>0.217964743414201</v>
      </c>
      <c r="S67" s="3">
        <f t="shared" si="11"/>
        <v>0.209510119967747</v>
      </c>
      <c r="T67" s="3">
        <f t="shared" si="11"/>
        <v>0.201304206318526</v>
      </c>
      <c r="U67" s="3">
        <f t="shared" si="11"/>
        <v>0.193336187094228</v>
      </c>
      <c r="V67" s="3">
        <f t="shared" si="11"/>
        <v>0.182711045297756</v>
      </c>
      <c r="W67" s="3">
        <f t="shared" si="11"/>
        <v>0.172427548994021</v>
      </c>
      <c r="X67" s="3">
        <f t="shared" si="11"/>
        <v>0.16246948078407</v>
      </c>
      <c r="Y67" s="3">
        <f t="shared" si="11"/>
        <v>0.152821633701836</v>
      </c>
      <c r="Z67" s="3">
        <f t="shared" si="11"/>
        <v>0.143469733726721</v>
      </c>
      <c r="AA67" s="3">
        <f t="shared" si="11"/>
        <v>0.133325973080778</v>
      </c>
      <c r="AB67" s="3">
        <f t="shared" si="11"/>
        <v>0.123383809265799</v>
      </c>
      <c r="AC67" s="3">
        <f t="shared" si="11"/>
        <v>0.113637291618316</v>
      </c>
      <c r="AD67" s="3">
        <f t="shared" si="11"/>
        <v>0.10408070139239</v>
      </c>
      <c r="AE67" s="3">
        <f t="shared" si="11"/>
        <v>0.0947085405703735</v>
      </c>
      <c r="AF67" s="3">
        <f t="shared" si="11"/>
        <v>0.0907944752413015</v>
      </c>
      <c r="AG67" s="3">
        <f t="shared" si="11"/>
        <v>0.0869409867326552</v>
      </c>
      <c r="AH67" s="3">
        <f t="shared" si="8"/>
        <v>0.0831466795492223</v>
      </c>
      <c r="AI67" s="3">
        <f t="shared" si="8"/>
        <v>0.0794102007327834</v>
      </c>
      <c r="AJ67" s="3">
        <f t="shared" si="8"/>
        <v>0.0757302382536226</v>
      </c>
    </row>
    <row r="68" spans="1:36">
      <c r="A68" t="str">
        <f>"recycling_archetype_"&amp;TEXT(ROUND(Table26[[#This Row],[2016]],3),"0.000")</f>
        <v>recycling_archetype_0.285</v>
      </c>
      <c r="B68" s="3">
        <f t="shared" si="2"/>
        <v>0.285</v>
      </c>
      <c r="C68" s="3">
        <f t="shared" si="12"/>
        <v>0.285</v>
      </c>
      <c r="D68" s="3">
        <f t="shared" si="12"/>
        <v>0.285</v>
      </c>
      <c r="E68" s="3">
        <f t="shared" si="12"/>
        <v>0.279393866729471</v>
      </c>
      <c r="F68" s="3">
        <f t="shared" si="12"/>
        <v>0.274054164638012</v>
      </c>
      <c r="G68" s="3">
        <f t="shared" si="12"/>
        <v>0.268962341384172</v>
      </c>
      <c r="H68" s="3">
        <f t="shared" si="12"/>
        <v>0.264101528021289</v>
      </c>
      <c r="I68" s="3">
        <f t="shared" si="12"/>
        <v>0.259456352298659</v>
      </c>
      <c r="J68" s="3">
        <f t="shared" si="12"/>
        <v>0.255012776270773</v>
      </c>
      <c r="K68" s="3">
        <f t="shared" si="12"/>
        <v>0.250757954600674</v>
      </c>
      <c r="L68" s="3">
        <f t="shared" si="12"/>
        <v>0.246680110544766</v>
      </c>
      <c r="M68" s="3">
        <f t="shared" si="12"/>
        <v>0.242768427097417</v>
      </c>
      <c r="N68" s="3">
        <f t="shared" si="12"/>
        <v>0.23901295117653</v>
      </c>
      <c r="O68" s="3">
        <f t="shared" si="12"/>
        <v>0.235404509063045</v>
      </c>
      <c r="P68" s="3">
        <f t="shared" si="12"/>
        <v>0.231934631581837</v>
      </c>
      <c r="Q68" s="3">
        <f t="shared" si="12"/>
        <v>0.223157144701767</v>
      </c>
      <c r="R68" s="3">
        <f t="shared" si="12"/>
        <v>0.214645691206336</v>
      </c>
      <c r="S68" s="3">
        <f t="shared" si="11"/>
        <v>0.206388356994199</v>
      </c>
      <c r="T68" s="3">
        <f t="shared" si="11"/>
        <v>0.19837392891864</v>
      </c>
      <c r="U68" s="3">
        <f t="shared" si="11"/>
        <v>0.19059184398482</v>
      </c>
      <c r="V68" s="3">
        <f t="shared" si="11"/>
        <v>0.180214640621422</v>
      </c>
      <c r="W68" s="3">
        <f t="shared" si="11"/>
        <v>0.170171110429095</v>
      </c>
      <c r="X68" s="3">
        <f t="shared" si="11"/>
        <v>0.160445414443036</v>
      </c>
      <c r="Y68" s="3">
        <f t="shared" si="11"/>
        <v>0.151022700552803</v>
      </c>
      <c r="Z68" s="3">
        <f t="shared" si="11"/>
        <v>0.141889027823075</v>
      </c>
      <c r="AA68" s="3">
        <f t="shared" si="11"/>
        <v>0.131981972547111</v>
      </c>
      <c r="AB68" s="3">
        <f t="shared" si="11"/>
        <v>0.122271809825846</v>
      </c>
      <c r="AC68" s="3">
        <f t="shared" si="11"/>
        <v>0.112752727854961</v>
      </c>
      <c r="AD68" s="3">
        <f t="shared" si="11"/>
        <v>0.103419141335859</v>
      </c>
      <c r="AE68" s="3">
        <f t="shared" si="11"/>
        <v>0.0942656805475203</v>
      </c>
      <c r="AF68" s="3">
        <f t="shared" si="11"/>
        <v>0.09044295020891</v>
      </c>
      <c r="AG68" s="3">
        <f t="shared" si="11"/>
        <v>0.0866793831263493</v>
      </c>
      <c r="AH68" s="3">
        <f t="shared" si="8"/>
        <v>0.0829736163686047</v>
      </c>
      <c r="AI68" s="3">
        <f t="shared" si="8"/>
        <v>0.0793243285488325</v>
      </c>
      <c r="AJ68" s="3">
        <f t="shared" si="8"/>
        <v>0.0757302382536226</v>
      </c>
    </row>
    <row r="69" spans="1:36">
      <c r="A69" t="str">
        <f>"recycling_archetype_"&amp;TEXT(ROUND(Table26[[#This Row],[2016]],3),"0.000")</f>
        <v>recycling_archetype_0.280</v>
      </c>
      <c r="B69" s="3">
        <f t="shared" si="2"/>
        <v>0.28</v>
      </c>
      <c r="C69" s="3">
        <f t="shared" si="12"/>
        <v>0.28</v>
      </c>
      <c r="D69" s="3">
        <f t="shared" si="12"/>
        <v>0.28</v>
      </c>
      <c r="E69" s="3">
        <f t="shared" si="12"/>
        <v>0.274527811863821</v>
      </c>
      <c r="F69" s="3">
        <f t="shared" si="12"/>
        <v>0.269315689171482</v>
      </c>
      <c r="G69" s="3">
        <f t="shared" si="12"/>
        <v>0.264345522845316</v>
      </c>
      <c r="H69" s="3">
        <f t="shared" si="12"/>
        <v>0.259600846981762</v>
      </c>
      <c r="I69" s="3">
        <f t="shared" si="12"/>
        <v>0.255066656613248</v>
      </c>
      <c r="J69" s="3">
        <f t="shared" si="12"/>
        <v>0.250729249197367</v>
      </c>
      <c r="K69" s="3">
        <f t="shared" si="12"/>
        <v>0.246576086305742</v>
      </c>
      <c r="L69" s="3">
        <f t="shared" si="12"/>
        <v>0.24259567257187</v>
      </c>
      <c r="M69" s="3">
        <f t="shared" si="12"/>
        <v>0.238777449436577</v>
      </c>
      <c r="N69" s="3">
        <f t="shared" si="12"/>
        <v>0.235111701622837</v>
      </c>
      <c r="O69" s="3">
        <f t="shared" si="12"/>
        <v>0.231589474595644</v>
      </c>
      <c r="P69" s="3">
        <f t="shared" si="12"/>
        <v>0.228202501530541</v>
      </c>
      <c r="Q69" s="3">
        <f t="shared" si="12"/>
        <v>0.21963473168763</v>
      </c>
      <c r="R69" s="3">
        <f t="shared" si="12"/>
        <v>0.211326638998472</v>
      </c>
      <c r="S69" s="3">
        <f t="shared" si="11"/>
        <v>0.203266594020652</v>
      </c>
      <c r="T69" s="3">
        <f t="shared" si="11"/>
        <v>0.195443651518753</v>
      </c>
      <c r="U69" s="3">
        <f t="shared" si="11"/>
        <v>0.187847500875413</v>
      </c>
      <c r="V69" s="3">
        <f t="shared" si="11"/>
        <v>0.177718235945088</v>
      </c>
      <c r="W69" s="3">
        <f t="shared" si="11"/>
        <v>0.16791467186417</v>
      </c>
      <c r="X69" s="3">
        <f t="shared" si="11"/>
        <v>0.158421348102002</v>
      </c>
      <c r="Y69" s="3">
        <f t="shared" si="11"/>
        <v>0.149223767403769</v>
      </c>
      <c r="Z69" s="3">
        <f t="shared" si="11"/>
        <v>0.140308321919428</v>
      </c>
      <c r="AA69" s="3">
        <f t="shared" si="11"/>
        <v>0.130637972013444</v>
      </c>
      <c r="AB69" s="3">
        <f t="shared" si="11"/>
        <v>0.121159810385893</v>
      </c>
      <c r="AC69" s="3">
        <f t="shared" si="11"/>
        <v>0.111868164091607</v>
      </c>
      <c r="AD69" s="3">
        <f t="shared" si="11"/>
        <v>0.102757581279328</v>
      </c>
      <c r="AE69" s="3">
        <f t="shared" si="11"/>
        <v>0.093822820524667</v>
      </c>
      <c r="AF69" s="3">
        <f t="shared" si="11"/>
        <v>0.0900914251765186</v>
      </c>
      <c r="AG69" s="3">
        <f t="shared" si="11"/>
        <v>0.0864177795200434</v>
      </c>
      <c r="AH69" s="3">
        <f t="shared" si="8"/>
        <v>0.0828005531879871</v>
      </c>
      <c r="AI69" s="3">
        <f t="shared" si="8"/>
        <v>0.0792384563648816</v>
      </c>
      <c r="AJ69" s="3">
        <f t="shared" si="8"/>
        <v>0.0757302382536226</v>
      </c>
    </row>
    <row r="70" spans="1:36">
      <c r="A70" t="str">
        <f>"recycling_archetype_"&amp;TEXT(ROUND(Table26[[#This Row],[2016]],3),"0.000")</f>
        <v>recycling_archetype_0.275</v>
      </c>
      <c r="B70" s="3">
        <f t="shared" si="2"/>
        <v>0.275</v>
      </c>
      <c r="C70" s="3">
        <f t="shared" si="12"/>
        <v>0.275</v>
      </c>
      <c r="D70" s="3">
        <f t="shared" si="12"/>
        <v>0.275</v>
      </c>
      <c r="E70" s="3">
        <f t="shared" si="12"/>
        <v>0.269661756998172</v>
      </c>
      <c r="F70" s="3">
        <f t="shared" si="12"/>
        <v>0.264577213704951</v>
      </c>
      <c r="G70" s="3">
        <f t="shared" si="12"/>
        <v>0.259728704306459</v>
      </c>
      <c r="H70" s="3">
        <f t="shared" si="12"/>
        <v>0.255100165942234</v>
      </c>
      <c r="I70" s="3">
        <f t="shared" si="12"/>
        <v>0.250676960927836</v>
      </c>
      <c r="J70" s="3">
        <f t="shared" si="12"/>
        <v>0.246445722123962</v>
      </c>
      <c r="K70" s="3">
        <f t="shared" si="12"/>
        <v>0.242394218010809</v>
      </c>
      <c r="L70" s="3">
        <f t="shared" si="12"/>
        <v>0.238511234598975</v>
      </c>
      <c r="M70" s="3">
        <f t="shared" si="12"/>
        <v>0.234786471775738</v>
      </c>
      <c r="N70" s="3">
        <f t="shared" si="12"/>
        <v>0.231210452069144</v>
      </c>
      <c r="O70" s="3">
        <f t="shared" si="12"/>
        <v>0.227774440128244</v>
      </c>
      <c r="P70" s="3">
        <f t="shared" si="12"/>
        <v>0.224470371479246</v>
      </c>
      <c r="Q70" s="3">
        <f t="shared" si="12"/>
        <v>0.216112318673493</v>
      </c>
      <c r="R70" s="3">
        <f t="shared" si="12"/>
        <v>0.208007586790608</v>
      </c>
      <c r="S70" s="3">
        <f t="shared" si="11"/>
        <v>0.200144831047105</v>
      </c>
      <c r="T70" s="3">
        <f t="shared" si="11"/>
        <v>0.192513374118866</v>
      </c>
      <c r="U70" s="3">
        <f t="shared" si="11"/>
        <v>0.185103157766006</v>
      </c>
      <c r="V70" s="3">
        <f t="shared" si="11"/>
        <v>0.175221831268754</v>
      </c>
      <c r="W70" s="3">
        <f t="shared" si="11"/>
        <v>0.165658233299244</v>
      </c>
      <c r="X70" s="3">
        <f t="shared" si="11"/>
        <v>0.156397281760968</v>
      </c>
      <c r="Y70" s="3">
        <f t="shared" si="11"/>
        <v>0.147424834254736</v>
      </c>
      <c r="Z70" s="3">
        <f t="shared" si="11"/>
        <v>0.138727616015781</v>
      </c>
      <c r="AA70" s="3">
        <f t="shared" si="11"/>
        <v>0.129293971479777</v>
      </c>
      <c r="AB70" s="3">
        <f t="shared" si="11"/>
        <v>0.12004781094594</v>
      </c>
      <c r="AC70" s="3">
        <f t="shared" si="11"/>
        <v>0.110983600328252</v>
      </c>
      <c r="AD70" s="3">
        <f t="shared" si="11"/>
        <v>0.102096021222796</v>
      </c>
      <c r="AE70" s="3">
        <f t="shared" si="11"/>
        <v>0.0933799605018138</v>
      </c>
      <c r="AF70" s="3">
        <f t="shared" si="11"/>
        <v>0.0897399001441272</v>
      </c>
      <c r="AG70" s="3">
        <f t="shared" si="11"/>
        <v>0.0861561759137374</v>
      </c>
      <c r="AH70" s="3">
        <f t="shared" si="8"/>
        <v>0.0826274900073696</v>
      </c>
      <c r="AI70" s="3">
        <f t="shared" si="8"/>
        <v>0.0791525841809307</v>
      </c>
      <c r="AJ70" s="3">
        <f t="shared" si="8"/>
        <v>0.0757302382536226</v>
      </c>
    </row>
    <row r="71" spans="1:36">
      <c r="A71" t="str">
        <f>"recycling_archetype_"&amp;TEXT(ROUND(Table26[[#This Row],[2016]],3),"0.000")</f>
        <v>recycling_archetype_0.270</v>
      </c>
      <c r="B71" s="3">
        <f t="shared" ref="B71:B109" si="13">MROUND(B70-0.005,0.005)</f>
        <v>0.27</v>
      </c>
      <c r="C71" s="3">
        <f t="shared" si="12"/>
        <v>0.27</v>
      </c>
      <c r="D71" s="3">
        <f t="shared" si="12"/>
        <v>0.27</v>
      </c>
      <c r="E71" s="3">
        <f t="shared" si="12"/>
        <v>0.264795702132523</v>
      </c>
      <c r="F71" s="3">
        <f t="shared" si="12"/>
        <v>0.25983873823842</v>
      </c>
      <c r="G71" s="3">
        <f t="shared" si="12"/>
        <v>0.255111885767603</v>
      </c>
      <c r="H71" s="3">
        <f t="shared" si="12"/>
        <v>0.250599484902707</v>
      </c>
      <c r="I71" s="3">
        <f t="shared" si="12"/>
        <v>0.246287265242424</v>
      </c>
      <c r="J71" s="3">
        <f t="shared" si="12"/>
        <v>0.242162195050556</v>
      </c>
      <c r="K71" s="3">
        <f t="shared" si="12"/>
        <v>0.238212349715877</v>
      </c>
      <c r="L71" s="3">
        <f t="shared" si="12"/>
        <v>0.234426796626079</v>
      </c>
      <c r="M71" s="3">
        <f t="shared" si="12"/>
        <v>0.230795494114898</v>
      </c>
      <c r="N71" s="3">
        <f t="shared" si="12"/>
        <v>0.227309202515451</v>
      </c>
      <c r="O71" s="3">
        <f t="shared" si="12"/>
        <v>0.223959405660843</v>
      </c>
      <c r="P71" s="3">
        <f t="shared" si="12"/>
        <v>0.220738241427951</v>
      </c>
      <c r="Q71" s="3">
        <f t="shared" si="12"/>
        <v>0.212589905659357</v>
      </c>
      <c r="R71" s="3">
        <f t="shared" si="12"/>
        <v>0.204688534582743</v>
      </c>
      <c r="S71" s="3">
        <f t="shared" si="11"/>
        <v>0.197023068073558</v>
      </c>
      <c r="T71" s="3">
        <f t="shared" si="11"/>
        <v>0.18958309671898</v>
      </c>
      <c r="U71" s="3">
        <f t="shared" si="11"/>
        <v>0.182358814656598</v>
      </c>
      <c r="V71" s="3">
        <f t="shared" si="11"/>
        <v>0.17272542659242</v>
      </c>
      <c r="W71" s="3">
        <f t="shared" si="11"/>
        <v>0.163401794734318</v>
      </c>
      <c r="X71" s="3">
        <f t="shared" si="11"/>
        <v>0.154373215419934</v>
      </c>
      <c r="Y71" s="3">
        <f t="shared" si="11"/>
        <v>0.145625901105702</v>
      </c>
      <c r="Z71" s="3">
        <f t="shared" si="11"/>
        <v>0.137146910112134</v>
      </c>
      <c r="AA71" s="3">
        <f t="shared" si="11"/>
        <v>0.127949970946111</v>
      </c>
      <c r="AB71" s="3">
        <f t="shared" si="11"/>
        <v>0.118935811505986</v>
      </c>
      <c r="AC71" s="3">
        <f t="shared" si="11"/>
        <v>0.110099036564897</v>
      </c>
      <c r="AD71" s="3">
        <f t="shared" si="11"/>
        <v>0.101434461166265</v>
      </c>
      <c r="AE71" s="3">
        <f t="shared" si="11"/>
        <v>0.0929371004789606</v>
      </c>
      <c r="AF71" s="3">
        <f t="shared" si="11"/>
        <v>0.0893883751117358</v>
      </c>
      <c r="AG71" s="3">
        <f t="shared" si="11"/>
        <v>0.0858945723074315</v>
      </c>
      <c r="AH71" s="3">
        <f t="shared" si="8"/>
        <v>0.082454426826752</v>
      </c>
      <c r="AI71" s="3">
        <f t="shared" si="8"/>
        <v>0.0790667119969797</v>
      </c>
      <c r="AJ71" s="3">
        <f t="shared" si="8"/>
        <v>0.0757302382536226</v>
      </c>
    </row>
    <row r="72" spans="1:36">
      <c r="A72" t="str">
        <f>"recycling_archetype_"&amp;TEXT(ROUND(Table26[[#This Row],[2016]],3),"0.000")</f>
        <v>recycling_archetype_0.265</v>
      </c>
      <c r="B72" s="3">
        <f t="shared" si="13"/>
        <v>0.265</v>
      </c>
      <c r="C72" s="3">
        <f t="shared" si="12"/>
        <v>0.265</v>
      </c>
      <c r="D72" s="3">
        <f t="shared" si="12"/>
        <v>0.265</v>
      </c>
      <c r="E72" s="3">
        <f t="shared" si="12"/>
        <v>0.259929647266873</v>
      </c>
      <c r="F72" s="3">
        <f t="shared" si="12"/>
        <v>0.255100262771889</v>
      </c>
      <c r="G72" s="3">
        <f t="shared" si="12"/>
        <v>0.250495067228746</v>
      </c>
      <c r="H72" s="3">
        <f t="shared" si="12"/>
        <v>0.24609880386318</v>
      </c>
      <c r="I72" s="3">
        <f t="shared" si="12"/>
        <v>0.241897569557013</v>
      </c>
      <c r="J72" s="3">
        <f t="shared" si="12"/>
        <v>0.23787866797715</v>
      </c>
      <c r="K72" s="3">
        <f t="shared" si="12"/>
        <v>0.234030481420944</v>
      </c>
      <c r="L72" s="3">
        <f t="shared" si="12"/>
        <v>0.230342358653183</v>
      </c>
      <c r="M72" s="3">
        <f t="shared" si="12"/>
        <v>0.226804516454059</v>
      </c>
      <c r="N72" s="3">
        <f t="shared" si="12"/>
        <v>0.223407952961757</v>
      </c>
      <c r="O72" s="3">
        <f t="shared" si="12"/>
        <v>0.220144371193443</v>
      </c>
      <c r="P72" s="3">
        <f t="shared" si="12"/>
        <v>0.217006111376655</v>
      </c>
      <c r="Q72" s="3">
        <f t="shared" si="12"/>
        <v>0.20906749264522</v>
      </c>
      <c r="R72" s="3">
        <f t="shared" si="12"/>
        <v>0.201369482374879</v>
      </c>
      <c r="S72" s="3">
        <f t="shared" si="11"/>
        <v>0.193901305100011</v>
      </c>
      <c r="T72" s="3">
        <f t="shared" si="11"/>
        <v>0.186652819319093</v>
      </c>
      <c r="U72" s="3">
        <f t="shared" si="11"/>
        <v>0.179614471547191</v>
      </c>
      <c r="V72" s="3">
        <f t="shared" si="11"/>
        <v>0.170229021916085</v>
      </c>
      <c r="W72" s="3">
        <f t="shared" si="11"/>
        <v>0.161145356169392</v>
      </c>
      <c r="X72" s="3">
        <f t="shared" si="11"/>
        <v>0.1523491490789</v>
      </c>
      <c r="Y72" s="3">
        <f t="shared" si="11"/>
        <v>0.143826967956669</v>
      </c>
      <c r="Z72" s="3">
        <f t="shared" si="11"/>
        <v>0.135566204208487</v>
      </c>
      <c r="AA72" s="3">
        <f t="shared" si="11"/>
        <v>0.126605970412444</v>
      </c>
      <c r="AB72" s="3">
        <f t="shared" si="11"/>
        <v>0.117823812066033</v>
      </c>
      <c r="AC72" s="3">
        <f t="shared" si="11"/>
        <v>0.109214472801543</v>
      </c>
      <c r="AD72" s="3">
        <f t="shared" si="11"/>
        <v>0.100772901109734</v>
      </c>
      <c r="AE72" s="3">
        <f t="shared" si="11"/>
        <v>0.0924942404561074</v>
      </c>
      <c r="AF72" s="3">
        <f t="shared" si="11"/>
        <v>0.0890368500793444</v>
      </c>
      <c r="AG72" s="3">
        <f t="shared" si="11"/>
        <v>0.0856329687011256</v>
      </c>
      <c r="AH72" s="3">
        <f t="shared" si="8"/>
        <v>0.0822813636461344</v>
      </c>
      <c r="AI72" s="3">
        <f t="shared" si="8"/>
        <v>0.0789808398130288</v>
      </c>
      <c r="AJ72" s="3">
        <f t="shared" si="8"/>
        <v>0.0757302382536226</v>
      </c>
    </row>
    <row r="73" spans="1:36">
      <c r="A73" t="str">
        <f>"recycling_archetype_"&amp;TEXT(ROUND(Table26[[#This Row],[2016]],3),"0.000")</f>
        <v>recycling_archetype_0.260</v>
      </c>
      <c r="B73" s="3">
        <f t="shared" si="13"/>
        <v>0.26</v>
      </c>
      <c r="C73" s="3">
        <f t="shared" si="12"/>
        <v>0.26</v>
      </c>
      <c r="D73" s="3">
        <f t="shared" si="12"/>
        <v>0.26</v>
      </c>
      <c r="E73" s="3">
        <f t="shared" si="12"/>
        <v>0.255063592401224</v>
      </c>
      <c r="F73" s="3">
        <f t="shared" si="12"/>
        <v>0.250361787305359</v>
      </c>
      <c r="G73" s="3">
        <f t="shared" si="12"/>
        <v>0.24587824868989</v>
      </c>
      <c r="H73" s="3">
        <f t="shared" si="12"/>
        <v>0.241598122823652</v>
      </c>
      <c r="I73" s="3">
        <f t="shared" si="12"/>
        <v>0.237507873871601</v>
      </c>
      <c r="J73" s="3">
        <f t="shared" si="12"/>
        <v>0.233595140903745</v>
      </c>
      <c r="K73" s="3">
        <f t="shared" si="12"/>
        <v>0.229848613126012</v>
      </c>
      <c r="L73" s="3">
        <f t="shared" si="12"/>
        <v>0.226257920680288</v>
      </c>
      <c r="M73" s="3">
        <f t="shared" si="12"/>
        <v>0.22281353879322</v>
      </c>
      <c r="N73" s="3">
        <f t="shared" si="12"/>
        <v>0.219506703408064</v>
      </c>
      <c r="O73" s="3">
        <f t="shared" si="12"/>
        <v>0.216329336726042</v>
      </c>
      <c r="P73" s="3">
        <f t="shared" si="12"/>
        <v>0.21327398132536</v>
      </c>
      <c r="Q73" s="3">
        <f t="shared" si="12"/>
        <v>0.205545079631083</v>
      </c>
      <c r="R73" s="3">
        <f t="shared" si="12"/>
        <v>0.198050430167014</v>
      </c>
      <c r="S73" s="3">
        <f t="shared" si="11"/>
        <v>0.190779542126463</v>
      </c>
      <c r="T73" s="3">
        <f t="shared" si="11"/>
        <v>0.183722541919206</v>
      </c>
      <c r="U73" s="3">
        <f t="shared" si="11"/>
        <v>0.176870128437784</v>
      </c>
      <c r="V73" s="3">
        <f t="shared" si="11"/>
        <v>0.167732617239751</v>
      </c>
      <c r="W73" s="3">
        <f t="shared" si="11"/>
        <v>0.158888917604466</v>
      </c>
      <c r="X73" s="3">
        <f t="shared" si="11"/>
        <v>0.150325082737866</v>
      </c>
      <c r="Y73" s="3">
        <f t="shared" si="11"/>
        <v>0.142028034807635</v>
      </c>
      <c r="Z73" s="3">
        <f t="shared" si="11"/>
        <v>0.133985498304841</v>
      </c>
      <c r="AA73" s="3">
        <f t="shared" si="11"/>
        <v>0.125261969878777</v>
      </c>
      <c r="AB73" s="3">
        <f t="shared" si="11"/>
        <v>0.11671181262608</v>
      </c>
      <c r="AC73" s="3">
        <f t="shared" si="11"/>
        <v>0.108329909038188</v>
      </c>
      <c r="AD73" s="3">
        <f t="shared" si="11"/>
        <v>0.100111341053203</v>
      </c>
      <c r="AE73" s="3">
        <f t="shared" si="11"/>
        <v>0.0920513804332542</v>
      </c>
      <c r="AF73" s="3">
        <f t="shared" si="11"/>
        <v>0.088685325046953</v>
      </c>
      <c r="AG73" s="3">
        <f t="shared" si="11"/>
        <v>0.0853713650948197</v>
      </c>
      <c r="AH73" s="3">
        <f t="shared" si="8"/>
        <v>0.0821083004655168</v>
      </c>
      <c r="AI73" s="3">
        <f t="shared" si="8"/>
        <v>0.0788949676290779</v>
      </c>
      <c r="AJ73" s="3">
        <f t="shared" si="8"/>
        <v>0.0757302382536226</v>
      </c>
    </row>
    <row r="74" spans="1:36">
      <c r="A74" t="str">
        <f>"recycling_archetype_"&amp;TEXT(ROUND(Table26[[#This Row],[2016]],3),"0.000")</f>
        <v>recycling_archetype_0.255</v>
      </c>
      <c r="B74" s="3">
        <f t="shared" si="13"/>
        <v>0.255</v>
      </c>
      <c r="C74" s="3">
        <f t="shared" si="12"/>
        <v>0.255</v>
      </c>
      <c r="D74" s="3">
        <f t="shared" si="12"/>
        <v>0.255</v>
      </c>
      <c r="E74" s="3">
        <f t="shared" si="12"/>
        <v>0.250197537535575</v>
      </c>
      <c r="F74" s="3">
        <f t="shared" si="12"/>
        <v>0.245623311838828</v>
      </c>
      <c r="G74" s="3">
        <f t="shared" si="12"/>
        <v>0.241261430151033</v>
      </c>
      <c r="H74" s="3">
        <f t="shared" si="12"/>
        <v>0.237097441784125</v>
      </c>
      <c r="I74" s="3">
        <f t="shared" si="12"/>
        <v>0.23311817818619</v>
      </c>
      <c r="J74" s="3">
        <f t="shared" si="12"/>
        <v>0.229311613830339</v>
      </c>
      <c r="K74" s="3">
        <f t="shared" si="12"/>
        <v>0.225666744831079</v>
      </c>
      <c r="L74" s="3">
        <f t="shared" si="12"/>
        <v>0.222173482707392</v>
      </c>
      <c r="M74" s="3">
        <f t="shared" si="12"/>
        <v>0.21882256113238</v>
      </c>
      <c r="N74" s="3">
        <f t="shared" si="12"/>
        <v>0.215605453854371</v>
      </c>
      <c r="O74" s="3">
        <f t="shared" si="12"/>
        <v>0.212514302258642</v>
      </c>
      <c r="P74" s="3">
        <f t="shared" si="12"/>
        <v>0.209541851274065</v>
      </c>
      <c r="Q74" s="3">
        <f t="shared" si="12"/>
        <v>0.202022666616947</v>
      </c>
      <c r="R74" s="3">
        <f t="shared" si="12"/>
        <v>0.19473137795915</v>
      </c>
      <c r="S74" s="3">
        <f t="shared" si="11"/>
        <v>0.187657779152916</v>
      </c>
      <c r="T74" s="3">
        <f t="shared" si="11"/>
        <v>0.180792264519319</v>
      </c>
      <c r="U74" s="3">
        <f t="shared" si="11"/>
        <v>0.174125785328376</v>
      </c>
      <c r="V74" s="3">
        <f t="shared" si="11"/>
        <v>0.165236212563417</v>
      </c>
      <c r="W74" s="3">
        <f t="shared" si="11"/>
        <v>0.15663247903954</v>
      </c>
      <c r="X74" s="3">
        <f t="shared" si="11"/>
        <v>0.148301016396832</v>
      </c>
      <c r="Y74" s="3">
        <f t="shared" si="11"/>
        <v>0.140229101658602</v>
      </c>
      <c r="Z74" s="3">
        <f t="shared" si="11"/>
        <v>0.132404792401194</v>
      </c>
      <c r="AA74" s="3">
        <f t="shared" si="11"/>
        <v>0.123917969345111</v>
      </c>
      <c r="AB74" s="3">
        <f t="shared" si="11"/>
        <v>0.115599813186127</v>
      </c>
      <c r="AC74" s="3">
        <f t="shared" si="11"/>
        <v>0.107445345274834</v>
      </c>
      <c r="AD74" s="3">
        <f t="shared" si="11"/>
        <v>0.0994497809966721</v>
      </c>
      <c r="AE74" s="3">
        <f t="shared" si="11"/>
        <v>0.091608520410401</v>
      </c>
      <c r="AF74" s="3">
        <f t="shared" si="11"/>
        <v>0.0883338000145616</v>
      </c>
      <c r="AG74" s="3">
        <f t="shared" si="11"/>
        <v>0.0851097614885137</v>
      </c>
      <c r="AH74" s="3">
        <f t="shared" si="8"/>
        <v>0.0819352372848993</v>
      </c>
      <c r="AI74" s="3">
        <f t="shared" si="8"/>
        <v>0.078809095445127</v>
      </c>
      <c r="AJ74" s="3">
        <f t="shared" si="8"/>
        <v>0.0757302382536226</v>
      </c>
    </row>
    <row r="75" spans="1:36">
      <c r="A75" t="str">
        <f>"recycling_archetype_"&amp;TEXT(ROUND(Table26[[#This Row],[2016]],3),"0.000")</f>
        <v>recycling_archetype_0.250</v>
      </c>
      <c r="B75" s="3">
        <f t="shared" si="13"/>
        <v>0.25</v>
      </c>
      <c r="C75" s="3">
        <f t="shared" si="12"/>
        <v>0.25</v>
      </c>
      <c r="D75" s="3">
        <f t="shared" si="12"/>
        <v>0.25</v>
      </c>
      <c r="E75" s="3">
        <f t="shared" si="12"/>
        <v>0.245331482669925</v>
      </c>
      <c r="F75" s="3">
        <f t="shared" si="12"/>
        <v>0.240884836372297</v>
      </c>
      <c r="G75" s="3">
        <f t="shared" si="12"/>
        <v>0.236644611612177</v>
      </c>
      <c r="H75" s="3">
        <f t="shared" si="12"/>
        <v>0.232596760744597</v>
      </c>
      <c r="I75" s="3">
        <f t="shared" si="12"/>
        <v>0.228728482500778</v>
      </c>
      <c r="J75" s="3">
        <f t="shared" si="12"/>
        <v>0.225028086756933</v>
      </c>
      <c r="K75" s="3">
        <f t="shared" si="12"/>
        <v>0.221484876536147</v>
      </c>
      <c r="L75" s="3">
        <f t="shared" si="12"/>
        <v>0.218089044734497</v>
      </c>
      <c r="M75" s="3">
        <f t="shared" si="12"/>
        <v>0.214831583471541</v>
      </c>
      <c r="N75" s="3">
        <f t="shared" si="12"/>
        <v>0.211704204300678</v>
      </c>
      <c r="O75" s="3">
        <f t="shared" si="12"/>
        <v>0.208699267791241</v>
      </c>
      <c r="P75" s="3">
        <f t="shared" si="12"/>
        <v>0.205809721222769</v>
      </c>
      <c r="Q75" s="3">
        <f t="shared" si="12"/>
        <v>0.19850025360281</v>
      </c>
      <c r="R75" s="3">
        <f t="shared" si="12"/>
        <v>0.191412325751286</v>
      </c>
      <c r="S75" s="3">
        <f t="shared" si="11"/>
        <v>0.184536016179369</v>
      </c>
      <c r="T75" s="3">
        <f t="shared" si="11"/>
        <v>0.177861987119433</v>
      </c>
      <c r="U75" s="3">
        <f t="shared" si="11"/>
        <v>0.171381442218969</v>
      </c>
      <c r="V75" s="3">
        <f t="shared" si="11"/>
        <v>0.162739807887083</v>
      </c>
      <c r="W75" s="3">
        <f t="shared" si="11"/>
        <v>0.154376040474615</v>
      </c>
      <c r="X75" s="3">
        <f t="shared" si="11"/>
        <v>0.146276950055797</v>
      </c>
      <c r="Y75" s="3">
        <f t="shared" si="11"/>
        <v>0.138430168509568</v>
      </c>
      <c r="Z75" s="3">
        <f t="shared" si="11"/>
        <v>0.130824086497547</v>
      </c>
      <c r="AA75" s="3">
        <f t="shared" si="11"/>
        <v>0.122573968811444</v>
      </c>
      <c r="AB75" s="3">
        <f t="shared" si="11"/>
        <v>0.114487813746174</v>
      </c>
      <c r="AC75" s="3">
        <f t="shared" si="11"/>
        <v>0.106560781511479</v>
      </c>
      <c r="AD75" s="3">
        <f t="shared" si="11"/>
        <v>0.098788220940141</v>
      </c>
      <c r="AE75" s="3">
        <f t="shared" si="11"/>
        <v>0.0911656603875477</v>
      </c>
      <c r="AF75" s="3">
        <f t="shared" si="11"/>
        <v>0.0879822749821702</v>
      </c>
      <c r="AG75" s="3">
        <f t="shared" si="11"/>
        <v>0.0848481578822078</v>
      </c>
      <c r="AH75" s="3">
        <f t="shared" si="8"/>
        <v>0.0817621741042817</v>
      </c>
      <c r="AI75" s="3">
        <f t="shared" si="8"/>
        <v>0.0787232232611761</v>
      </c>
      <c r="AJ75" s="3">
        <f t="shared" si="8"/>
        <v>0.0757302382536226</v>
      </c>
    </row>
    <row r="76" spans="1:36">
      <c r="A76" t="str">
        <f>"recycling_archetype_"&amp;TEXT(ROUND(Table26[[#This Row],[2016]],3),"0.000")</f>
        <v>recycling_archetype_0.245</v>
      </c>
      <c r="B76" s="3">
        <f t="shared" si="13"/>
        <v>0.245</v>
      </c>
      <c r="C76" s="3">
        <f t="shared" si="12"/>
        <v>0.245</v>
      </c>
      <c r="D76" s="3">
        <f t="shared" si="12"/>
        <v>0.245</v>
      </c>
      <c r="E76" s="3">
        <f t="shared" si="12"/>
        <v>0.240465427804276</v>
      </c>
      <c r="F76" s="3">
        <f t="shared" si="12"/>
        <v>0.236146360905766</v>
      </c>
      <c r="G76" s="3">
        <f t="shared" si="12"/>
        <v>0.23202779307332</v>
      </c>
      <c r="H76" s="3">
        <f t="shared" si="12"/>
        <v>0.22809607970507</v>
      </c>
      <c r="I76" s="3">
        <f t="shared" si="12"/>
        <v>0.224338786815366</v>
      </c>
      <c r="J76" s="3">
        <f t="shared" si="12"/>
        <v>0.220744559683528</v>
      </c>
      <c r="K76" s="3">
        <f t="shared" si="12"/>
        <v>0.217303008241214</v>
      </c>
      <c r="L76" s="3">
        <f t="shared" si="12"/>
        <v>0.214004606761601</v>
      </c>
      <c r="M76" s="3">
        <f t="shared" si="12"/>
        <v>0.210840605810702</v>
      </c>
      <c r="N76" s="3">
        <f t="shared" si="12"/>
        <v>0.207802954746984</v>
      </c>
      <c r="O76" s="3">
        <f t="shared" si="12"/>
        <v>0.204884233323841</v>
      </c>
      <c r="P76" s="3">
        <f t="shared" si="12"/>
        <v>0.202077591171474</v>
      </c>
      <c r="Q76" s="3">
        <f t="shared" si="12"/>
        <v>0.194977840588673</v>
      </c>
      <c r="R76" s="3">
        <f t="shared" ref="R76:AG91" si="14">(($B76-$AJ$2)*((R$2-$AJ$2)/($B$2-$AJ$2)))+$AJ$2</f>
        <v>0.188093273543421</v>
      </c>
      <c r="S76" s="3">
        <f t="shared" si="14"/>
        <v>0.181414253205822</v>
      </c>
      <c r="T76" s="3">
        <f t="shared" si="14"/>
        <v>0.174931709719546</v>
      </c>
      <c r="U76" s="3">
        <f t="shared" si="14"/>
        <v>0.168637099109562</v>
      </c>
      <c r="V76" s="3">
        <f t="shared" si="14"/>
        <v>0.160243403210749</v>
      </c>
      <c r="W76" s="3">
        <f t="shared" si="14"/>
        <v>0.152119601909689</v>
      </c>
      <c r="X76" s="3">
        <f t="shared" si="14"/>
        <v>0.144252883714763</v>
      </c>
      <c r="Y76" s="3">
        <f t="shared" si="14"/>
        <v>0.136631235360535</v>
      </c>
      <c r="Z76" s="3">
        <f t="shared" si="14"/>
        <v>0.1292433805939</v>
      </c>
      <c r="AA76" s="3">
        <f t="shared" si="14"/>
        <v>0.121229968277777</v>
      </c>
      <c r="AB76" s="3">
        <f t="shared" si="14"/>
        <v>0.11337581430622</v>
      </c>
      <c r="AC76" s="3">
        <f t="shared" si="14"/>
        <v>0.105676217748124</v>
      </c>
      <c r="AD76" s="3">
        <f t="shared" si="14"/>
        <v>0.0981266608836099</v>
      </c>
      <c r="AE76" s="3">
        <f t="shared" si="14"/>
        <v>0.0907228003646945</v>
      </c>
      <c r="AF76" s="3">
        <f t="shared" si="14"/>
        <v>0.0876307499497788</v>
      </c>
      <c r="AG76" s="3">
        <f t="shared" si="14"/>
        <v>0.0845865542759019</v>
      </c>
      <c r="AH76" s="3">
        <f t="shared" si="8"/>
        <v>0.0815891109236641</v>
      </c>
      <c r="AI76" s="3">
        <f t="shared" si="8"/>
        <v>0.0786373510772252</v>
      </c>
      <c r="AJ76" s="3">
        <f t="shared" si="8"/>
        <v>0.0757302382536226</v>
      </c>
    </row>
    <row r="77" spans="1:36">
      <c r="A77" t="str">
        <f>"recycling_archetype_"&amp;TEXT(ROUND(Table26[[#This Row],[2016]],3),"0.000")</f>
        <v>recycling_archetype_0.240</v>
      </c>
      <c r="B77" s="3">
        <f t="shared" si="13"/>
        <v>0.24</v>
      </c>
      <c r="C77" s="3">
        <f t="shared" ref="C77:R92" si="15">(($B77-$AJ$2)*((C$2-$AJ$2)/($B$2-$AJ$2)))+$AJ$2</f>
        <v>0.24</v>
      </c>
      <c r="D77" s="3">
        <f t="shared" si="15"/>
        <v>0.24</v>
      </c>
      <c r="E77" s="3">
        <f t="shared" si="15"/>
        <v>0.235599372938627</v>
      </c>
      <c r="F77" s="3">
        <f t="shared" si="15"/>
        <v>0.231407885439235</v>
      </c>
      <c r="G77" s="3">
        <f t="shared" si="15"/>
        <v>0.227410974534464</v>
      </c>
      <c r="H77" s="3">
        <f t="shared" si="15"/>
        <v>0.223595398665543</v>
      </c>
      <c r="I77" s="3">
        <f t="shared" si="15"/>
        <v>0.219949091129955</v>
      </c>
      <c r="J77" s="3">
        <f t="shared" si="15"/>
        <v>0.216461032610122</v>
      </c>
      <c r="K77" s="3">
        <f t="shared" si="15"/>
        <v>0.213121139946282</v>
      </c>
      <c r="L77" s="3">
        <f t="shared" si="15"/>
        <v>0.209920168788706</v>
      </c>
      <c r="M77" s="3">
        <f t="shared" si="15"/>
        <v>0.206849628149862</v>
      </c>
      <c r="N77" s="3">
        <f t="shared" si="15"/>
        <v>0.203901705193291</v>
      </c>
      <c r="O77" s="3">
        <f t="shared" si="15"/>
        <v>0.201069198856441</v>
      </c>
      <c r="P77" s="3">
        <f t="shared" si="15"/>
        <v>0.198345461120179</v>
      </c>
      <c r="Q77" s="3">
        <f t="shared" si="15"/>
        <v>0.191455427574536</v>
      </c>
      <c r="R77" s="3">
        <f t="shared" si="15"/>
        <v>0.184774221335557</v>
      </c>
      <c r="S77" s="3">
        <f t="shared" si="14"/>
        <v>0.178292490232275</v>
      </c>
      <c r="T77" s="3">
        <f t="shared" si="14"/>
        <v>0.172001432319659</v>
      </c>
      <c r="U77" s="3">
        <f t="shared" si="14"/>
        <v>0.165892756000154</v>
      </c>
      <c r="V77" s="3">
        <f t="shared" si="14"/>
        <v>0.157746998534415</v>
      </c>
      <c r="W77" s="3">
        <f t="shared" si="14"/>
        <v>0.149863163344763</v>
      </c>
      <c r="X77" s="3">
        <f t="shared" si="14"/>
        <v>0.142228817373729</v>
      </c>
      <c r="Y77" s="3">
        <f t="shared" si="14"/>
        <v>0.134832302211501</v>
      </c>
      <c r="Z77" s="3">
        <f t="shared" si="14"/>
        <v>0.127662674690253</v>
      </c>
      <c r="AA77" s="3">
        <f t="shared" si="14"/>
        <v>0.11988596774411</v>
      </c>
      <c r="AB77" s="3">
        <f t="shared" si="14"/>
        <v>0.112263814866267</v>
      </c>
      <c r="AC77" s="3">
        <f t="shared" si="14"/>
        <v>0.10479165398477</v>
      </c>
      <c r="AD77" s="3">
        <f t="shared" si="14"/>
        <v>0.0974651008270788</v>
      </c>
      <c r="AE77" s="3">
        <f t="shared" si="14"/>
        <v>0.0902799403418413</v>
      </c>
      <c r="AF77" s="3">
        <f t="shared" si="14"/>
        <v>0.0872792249173874</v>
      </c>
      <c r="AG77" s="3">
        <f t="shared" si="14"/>
        <v>0.084324950669596</v>
      </c>
      <c r="AH77" s="3">
        <f t="shared" si="8"/>
        <v>0.0814160477430465</v>
      </c>
      <c r="AI77" s="3">
        <f t="shared" si="8"/>
        <v>0.0785514788932742</v>
      </c>
      <c r="AJ77" s="3">
        <f t="shared" si="8"/>
        <v>0.0757302382536226</v>
      </c>
    </row>
    <row r="78" spans="1:36">
      <c r="A78" t="str">
        <f>"recycling_archetype_"&amp;TEXT(ROUND(Table26[[#This Row],[2016]],3),"0.000")</f>
        <v>recycling_archetype_0.235</v>
      </c>
      <c r="B78" s="3">
        <f t="shared" si="13"/>
        <v>0.235</v>
      </c>
      <c r="C78" s="3">
        <f t="shared" si="15"/>
        <v>0.235</v>
      </c>
      <c r="D78" s="3">
        <f t="shared" si="15"/>
        <v>0.235</v>
      </c>
      <c r="E78" s="3">
        <f t="shared" si="15"/>
        <v>0.230733318072977</v>
      </c>
      <c r="F78" s="3">
        <f t="shared" si="15"/>
        <v>0.226669409972705</v>
      </c>
      <c r="G78" s="3">
        <f t="shared" si="15"/>
        <v>0.222794155995608</v>
      </c>
      <c r="H78" s="3">
        <f t="shared" si="15"/>
        <v>0.219094717626015</v>
      </c>
      <c r="I78" s="3">
        <f t="shared" si="15"/>
        <v>0.215559395444543</v>
      </c>
      <c r="J78" s="3">
        <f t="shared" si="15"/>
        <v>0.212177505536717</v>
      </c>
      <c r="K78" s="3">
        <f t="shared" si="15"/>
        <v>0.208939271651349</v>
      </c>
      <c r="L78" s="3">
        <f t="shared" si="15"/>
        <v>0.20583573081581</v>
      </c>
      <c r="M78" s="3">
        <f t="shared" si="15"/>
        <v>0.202858650489023</v>
      </c>
      <c r="N78" s="3">
        <f t="shared" si="15"/>
        <v>0.200000455639598</v>
      </c>
      <c r="O78" s="3">
        <f t="shared" si="15"/>
        <v>0.19725416438904</v>
      </c>
      <c r="P78" s="3">
        <f t="shared" si="15"/>
        <v>0.194613331068883</v>
      </c>
      <c r="Q78" s="3">
        <f t="shared" si="15"/>
        <v>0.1879330145604</v>
      </c>
      <c r="R78" s="3">
        <f t="shared" si="15"/>
        <v>0.181455169127693</v>
      </c>
      <c r="S78" s="3">
        <f t="shared" si="14"/>
        <v>0.175170727258728</v>
      </c>
      <c r="T78" s="3">
        <f t="shared" si="14"/>
        <v>0.169071154919773</v>
      </c>
      <c r="U78" s="3">
        <f t="shared" si="14"/>
        <v>0.163148412890747</v>
      </c>
      <c r="V78" s="3">
        <f t="shared" si="14"/>
        <v>0.15525059385808</v>
      </c>
      <c r="W78" s="3">
        <f t="shared" si="14"/>
        <v>0.147606724779837</v>
      </c>
      <c r="X78" s="3">
        <f t="shared" si="14"/>
        <v>0.140204751032695</v>
      </c>
      <c r="Y78" s="3">
        <f t="shared" si="14"/>
        <v>0.133033369062468</v>
      </c>
      <c r="Z78" s="3">
        <f t="shared" si="14"/>
        <v>0.126081968786607</v>
      </c>
      <c r="AA78" s="3">
        <f t="shared" si="14"/>
        <v>0.118541967210444</v>
      </c>
      <c r="AB78" s="3">
        <f t="shared" si="14"/>
        <v>0.111151815426314</v>
      </c>
      <c r="AC78" s="3">
        <f t="shared" si="14"/>
        <v>0.103907090221415</v>
      </c>
      <c r="AD78" s="3">
        <f t="shared" si="14"/>
        <v>0.0968035407705478</v>
      </c>
      <c r="AE78" s="3">
        <f t="shared" si="14"/>
        <v>0.0898370803189881</v>
      </c>
      <c r="AF78" s="3">
        <f t="shared" si="14"/>
        <v>0.086927699884996</v>
      </c>
      <c r="AG78" s="3">
        <f t="shared" si="14"/>
        <v>0.0840633470632901</v>
      </c>
      <c r="AH78" s="3">
        <f t="shared" si="8"/>
        <v>0.081242984562429</v>
      </c>
      <c r="AI78" s="3">
        <f t="shared" si="8"/>
        <v>0.0784656067093233</v>
      </c>
      <c r="AJ78" s="3">
        <f t="shared" si="8"/>
        <v>0.0757302382536226</v>
      </c>
    </row>
    <row r="79" spans="1:36">
      <c r="A79" t="str">
        <f>"recycling_archetype_"&amp;TEXT(ROUND(Table26[[#This Row],[2016]],3),"0.000")</f>
        <v>recycling_archetype_0.230</v>
      </c>
      <c r="B79" s="3">
        <f t="shared" si="13"/>
        <v>0.23</v>
      </c>
      <c r="C79" s="3">
        <f t="shared" si="15"/>
        <v>0.23</v>
      </c>
      <c r="D79" s="3">
        <f t="shared" si="15"/>
        <v>0.23</v>
      </c>
      <c r="E79" s="3">
        <f t="shared" si="15"/>
        <v>0.225867263207328</v>
      </c>
      <c r="F79" s="3">
        <f t="shared" si="15"/>
        <v>0.221930934506174</v>
      </c>
      <c r="G79" s="3">
        <f t="shared" si="15"/>
        <v>0.218177337456751</v>
      </c>
      <c r="H79" s="3">
        <f t="shared" si="15"/>
        <v>0.214594036586488</v>
      </c>
      <c r="I79" s="3">
        <f t="shared" si="15"/>
        <v>0.211169699759132</v>
      </c>
      <c r="J79" s="3">
        <f t="shared" si="15"/>
        <v>0.207893978463311</v>
      </c>
      <c r="K79" s="3">
        <f t="shared" si="15"/>
        <v>0.204757403356417</v>
      </c>
      <c r="L79" s="3">
        <f t="shared" si="15"/>
        <v>0.201751292842914</v>
      </c>
      <c r="M79" s="3">
        <f t="shared" si="15"/>
        <v>0.198867672828184</v>
      </c>
      <c r="N79" s="3">
        <f t="shared" si="15"/>
        <v>0.196099206085905</v>
      </c>
      <c r="O79" s="3">
        <f t="shared" si="15"/>
        <v>0.19343912992164</v>
      </c>
      <c r="P79" s="3">
        <f t="shared" si="15"/>
        <v>0.190881201017588</v>
      </c>
      <c r="Q79" s="3">
        <f t="shared" si="15"/>
        <v>0.184410601546263</v>
      </c>
      <c r="R79" s="3">
        <f t="shared" si="15"/>
        <v>0.178136116919828</v>
      </c>
      <c r="S79" s="3">
        <f t="shared" si="14"/>
        <v>0.17204896428518</v>
      </c>
      <c r="T79" s="3">
        <f t="shared" si="14"/>
        <v>0.166140877519886</v>
      </c>
      <c r="U79" s="3">
        <f t="shared" si="14"/>
        <v>0.16040406978134</v>
      </c>
      <c r="V79" s="3">
        <f t="shared" si="14"/>
        <v>0.152754189181746</v>
      </c>
      <c r="W79" s="3">
        <f t="shared" si="14"/>
        <v>0.145350286214911</v>
      </c>
      <c r="X79" s="3">
        <f t="shared" si="14"/>
        <v>0.138180684691661</v>
      </c>
      <c r="Y79" s="3">
        <f t="shared" si="14"/>
        <v>0.131234435913434</v>
      </c>
      <c r="Z79" s="3">
        <f t="shared" si="14"/>
        <v>0.12450126288296</v>
      </c>
      <c r="AA79" s="3">
        <f t="shared" si="14"/>
        <v>0.117197966676777</v>
      </c>
      <c r="AB79" s="3">
        <f t="shared" si="14"/>
        <v>0.110039815986361</v>
      </c>
      <c r="AC79" s="3">
        <f t="shared" si="14"/>
        <v>0.103022526458061</v>
      </c>
      <c r="AD79" s="3">
        <f t="shared" si="14"/>
        <v>0.0961419807140167</v>
      </c>
      <c r="AE79" s="3">
        <f t="shared" si="14"/>
        <v>0.0893942202961349</v>
      </c>
      <c r="AF79" s="3">
        <f t="shared" si="14"/>
        <v>0.0865761748526046</v>
      </c>
      <c r="AG79" s="3">
        <f t="shared" si="14"/>
        <v>0.0838017434569841</v>
      </c>
      <c r="AH79" s="3">
        <f t="shared" si="8"/>
        <v>0.0810699213818114</v>
      </c>
      <c r="AI79" s="3">
        <f t="shared" si="8"/>
        <v>0.0783797345253724</v>
      </c>
      <c r="AJ79" s="3">
        <f t="shared" si="8"/>
        <v>0.0757302382536226</v>
      </c>
    </row>
    <row r="80" spans="1:36">
      <c r="A80" t="str">
        <f>"recycling_archetype_"&amp;TEXT(ROUND(Table26[[#This Row],[2016]],3),"0.000")</f>
        <v>recycling_archetype_0.225</v>
      </c>
      <c r="B80" s="3">
        <f t="shared" si="13"/>
        <v>0.225</v>
      </c>
      <c r="C80" s="3">
        <f t="shared" si="15"/>
        <v>0.225</v>
      </c>
      <c r="D80" s="3">
        <f t="shared" si="15"/>
        <v>0.225</v>
      </c>
      <c r="E80" s="3">
        <f t="shared" si="15"/>
        <v>0.221001208341679</v>
      </c>
      <c r="F80" s="3">
        <f t="shared" si="15"/>
        <v>0.217192459039643</v>
      </c>
      <c r="G80" s="3">
        <f t="shared" si="15"/>
        <v>0.213560518917895</v>
      </c>
      <c r="H80" s="3">
        <f t="shared" si="15"/>
        <v>0.210093355546961</v>
      </c>
      <c r="I80" s="3">
        <f t="shared" si="15"/>
        <v>0.20678000407372</v>
      </c>
      <c r="J80" s="3">
        <f t="shared" si="15"/>
        <v>0.203610451389905</v>
      </c>
      <c r="K80" s="3">
        <f t="shared" si="15"/>
        <v>0.200575535061484</v>
      </c>
      <c r="L80" s="3">
        <f t="shared" si="15"/>
        <v>0.197666854870019</v>
      </c>
      <c r="M80" s="3">
        <f t="shared" si="15"/>
        <v>0.194876695167344</v>
      </c>
      <c r="N80" s="3">
        <f t="shared" si="15"/>
        <v>0.192197956532212</v>
      </c>
      <c r="O80" s="3">
        <f t="shared" si="15"/>
        <v>0.189624095454239</v>
      </c>
      <c r="P80" s="3">
        <f t="shared" si="15"/>
        <v>0.187149070966293</v>
      </c>
      <c r="Q80" s="3">
        <f t="shared" si="15"/>
        <v>0.180888188532127</v>
      </c>
      <c r="R80" s="3">
        <f t="shared" si="15"/>
        <v>0.174817064711964</v>
      </c>
      <c r="S80" s="3">
        <f t="shared" si="14"/>
        <v>0.168927201311633</v>
      </c>
      <c r="T80" s="3">
        <f t="shared" si="14"/>
        <v>0.163210600119999</v>
      </c>
      <c r="U80" s="3">
        <f t="shared" si="14"/>
        <v>0.157659726671932</v>
      </c>
      <c r="V80" s="3">
        <f t="shared" si="14"/>
        <v>0.150257784505412</v>
      </c>
      <c r="W80" s="3">
        <f t="shared" si="14"/>
        <v>0.143093847649986</v>
      </c>
      <c r="X80" s="3">
        <f t="shared" si="14"/>
        <v>0.136156618350627</v>
      </c>
      <c r="Y80" s="3">
        <f t="shared" si="14"/>
        <v>0.129435502764401</v>
      </c>
      <c r="Z80" s="3">
        <f t="shared" si="14"/>
        <v>0.122920556979313</v>
      </c>
      <c r="AA80" s="3">
        <f t="shared" si="14"/>
        <v>0.11585396614311</v>
      </c>
      <c r="AB80" s="3">
        <f t="shared" si="14"/>
        <v>0.108927816546407</v>
      </c>
      <c r="AC80" s="3">
        <f t="shared" si="14"/>
        <v>0.102137962694706</v>
      </c>
      <c r="AD80" s="3">
        <f t="shared" si="14"/>
        <v>0.0954804206574856</v>
      </c>
      <c r="AE80" s="3">
        <f t="shared" si="14"/>
        <v>0.0889513602732817</v>
      </c>
      <c r="AF80" s="3">
        <f t="shared" si="14"/>
        <v>0.0862246498202132</v>
      </c>
      <c r="AG80" s="3">
        <f t="shared" si="14"/>
        <v>0.0835401398506782</v>
      </c>
      <c r="AH80" s="3">
        <f t="shared" si="8"/>
        <v>0.0808968582011938</v>
      </c>
      <c r="AI80" s="3">
        <f t="shared" si="8"/>
        <v>0.0782938623414215</v>
      </c>
      <c r="AJ80" s="3">
        <f t="shared" si="8"/>
        <v>0.0757302382536226</v>
      </c>
    </row>
    <row r="81" spans="1:36">
      <c r="A81" t="str">
        <f>"recycling_archetype_"&amp;TEXT(ROUND(Table26[[#This Row],[2016]],3),"0.000")</f>
        <v>recycling_archetype_0.220</v>
      </c>
      <c r="B81" s="3">
        <f t="shared" si="13"/>
        <v>0.22</v>
      </c>
      <c r="C81" s="3">
        <f t="shared" si="15"/>
        <v>0.22</v>
      </c>
      <c r="D81" s="3">
        <f t="shared" si="15"/>
        <v>0.22</v>
      </c>
      <c r="E81" s="3">
        <f t="shared" si="15"/>
        <v>0.216135153476029</v>
      </c>
      <c r="F81" s="3">
        <f t="shared" si="15"/>
        <v>0.212453983573112</v>
      </c>
      <c r="G81" s="3">
        <f t="shared" si="15"/>
        <v>0.208943700379038</v>
      </c>
      <c r="H81" s="3">
        <f t="shared" si="15"/>
        <v>0.205592674507433</v>
      </c>
      <c r="I81" s="3">
        <f t="shared" si="15"/>
        <v>0.202390308388309</v>
      </c>
      <c r="J81" s="3">
        <f t="shared" si="15"/>
        <v>0.1993269243165</v>
      </c>
      <c r="K81" s="3">
        <f t="shared" si="15"/>
        <v>0.196393666766552</v>
      </c>
      <c r="L81" s="3">
        <f t="shared" si="15"/>
        <v>0.193582416897123</v>
      </c>
      <c r="M81" s="3">
        <f t="shared" si="15"/>
        <v>0.190885717506505</v>
      </c>
      <c r="N81" s="3">
        <f t="shared" si="15"/>
        <v>0.188296706978518</v>
      </c>
      <c r="O81" s="3">
        <f t="shared" si="15"/>
        <v>0.185809060986839</v>
      </c>
      <c r="P81" s="3">
        <f t="shared" si="15"/>
        <v>0.183416940914997</v>
      </c>
      <c r="Q81" s="3">
        <f t="shared" si="15"/>
        <v>0.17736577551799</v>
      </c>
      <c r="R81" s="3">
        <f t="shared" si="15"/>
        <v>0.171498012504099</v>
      </c>
      <c r="S81" s="3">
        <f t="shared" si="14"/>
        <v>0.165805438338086</v>
      </c>
      <c r="T81" s="3">
        <f t="shared" si="14"/>
        <v>0.160280322720113</v>
      </c>
      <c r="U81" s="3">
        <f t="shared" si="14"/>
        <v>0.154915383562525</v>
      </c>
      <c r="V81" s="3">
        <f t="shared" si="14"/>
        <v>0.147761379829078</v>
      </c>
      <c r="W81" s="3">
        <f t="shared" si="14"/>
        <v>0.14083740908506</v>
      </c>
      <c r="X81" s="3">
        <f t="shared" si="14"/>
        <v>0.134132552009593</v>
      </c>
      <c r="Y81" s="3">
        <f t="shared" si="14"/>
        <v>0.127636569615367</v>
      </c>
      <c r="Z81" s="3">
        <f t="shared" si="14"/>
        <v>0.121339851075666</v>
      </c>
      <c r="AA81" s="3">
        <f t="shared" si="14"/>
        <v>0.114509965609443</v>
      </c>
      <c r="AB81" s="3">
        <f t="shared" si="14"/>
        <v>0.107815817106454</v>
      </c>
      <c r="AC81" s="3">
        <f t="shared" si="14"/>
        <v>0.101253398931352</v>
      </c>
      <c r="AD81" s="3">
        <f t="shared" si="14"/>
        <v>0.0948188606009545</v>
      </c>
      <c r="AE81" s="3">
        <f t="shared" si="14"/>
        <v>0.0885085002504284</v>
      </c>
      <c r="AF81" s="3">
        <f t="shared" si="14"/>
        <v>0.0858731247878218</v>
      </c>
      <c r="AG81" s="3">
        <f t="shared" si="14"/>
        <v>0.0832785362443723</v>
      </c>
      <c r="AH81" s="3">
        <f t="shared" si="8"/>
        <v>0.0807237950205762</v>
      </c>
      <c r="AI81" s="3">
        <f t="shared" si="8"/>
        <v>0.0782079901574706</v>
      </c>
      <c r="AJ81" s="3">
        <f t="shared" si="8"/>
        <v>0.0757302382536226</v>
      </c>
    </row>
    <row r="82" spans="1:36">
      <c r="A82" t="str">
        <f>"recycling_archetype_"&amp;TEXT(ROUND(Table26[[#This Row],[2016]],3),"0.000")</f>
        <v>recycling_archetype_0.215</v>
      </c>
      <c r="B82" s="3">
        <f t="shared" si="13"/>
        <v>0.215</v>
      </c>
      <c r="C82" s="3">
        <f t="shared" si="15"/>
        <v>0.215</v>
      </c>
      <c r="D82" s="3">
        <f t="shared" si="15"/>
        <v>0.215</v>
      </c>
      <c r="E82" s="3">
        <f t="shared" si="15"/>
        <v>0.21126909861038</v>
      </c>
      <c r="F82" s="3">
        <f t="shared" si="15"/>
        <v>0.207715508106582</v>
      </c>
      <c r="G82" s="3">
        <f t="shared" si="15"/>
        <v>0.204326881840182</v>
      </c>
      <c r="H82" s="3">
        <f t="shared" si="15"/>
        <v>0.201091993467906</v>
      </c>
      <c r="I82" s="3">
        <f t="shared" si="15"/>
        <v>0.198000612702897</v>
      </c>
      <c r="J82" s="3">
        <f t="shared" si="15"/>
        <v>0.195043397243094</v>
      </c>
      <c r="K82" s="3">
        <f t="shared" si="15"/>
        <v>0.192211798471619</v>
      </c>
      <c r="L82" s="3">
        <f t="shared" si="15"/>
        <v>0.189497978924228</v>
      </c>
      <c r="M82" s="3">
        <f t="shared" si="15"/>
        <v>0.186894739845665</v>
      </c>
      <c r="N82" s="3">
        <f t="shared" si="15"/>
        <v>0.184395457424825</v>
      </c>
      <c r="O82" s="3">
        <f t="shared" si="15"/>
        <v>0.181994026519438</v>
      </c>
      <c r="P82" s="3">
        <f t="shared" si="15"/>
        <v>0.179684810863702</v>
      </c>
      <c r="Q82" s="3">
        <f t="shared" si="15"/>
        <v>0.173843362503853</v>
      </c>
      <c r="R82" s="3">
        <f t="shared" si="15"/>
        <v>0.168178960296235</v>
      </c>
      <c r="S82" s="3">
        <f t="shared" si="14"/>
        <v>0.162683675364539</v>
      </c>
      <c r="T82" s="3">
        <f t="shared" si="14"/>
        <v>0.157350045320226</v>
      </c>
      <c r="U82" s="3">
        <f t="shared" si="14"/>
        <v>0.152171040453118</v>
      </c>
      <c r="V82" s="3">
        <f t="shared" si="14"/>
        <v>0.145264975152744</v>
      </c>
      <c r="W82" s="3">
        <f t="shared" si="14"/>
        <v>0.138580970520134</v>
      </c>
      <c r="X82" s="3">
        <f t="shared" si="14"/>
        <v>0.132108485668559</v>
      </c>
      <c r="Y82" s="3">
        <f t="shared" si="14"/>
        <v>0.125837636466334</v>
      </c>
      <c r="Z82" s="3">
        <f t="shared" si="14"/>
        <v>0.119759145172019</v>
      </c>
      <c r="AA82" s="3">
        <f t="shared" si="14"/>
        <v>0.113165965075777</v>
      </c>
      <c r="AB82" s="3">
        <f t="shared" si="14"/>
        <v>0.106703817666501</v>
      </c>
      <c r="AC82" s="3">
        <f t="shared" si="14"/>
        <v>0.100368835167997</v>
      </c>
      <c r="AD82" s="3">
        <f t="shared" si="14"/>
        <v>0.0941573005444234</v>
      </c>
      <c r="AE82" s="3">
        <f t="shared" si="14"/>
        <v>0.0880656402275752</v>
      </c>
      <c r="AF82" s="3">
        <f t="shared" si="14"/>
        <v>0.0855215997554304</v>
      </c>
      <c r="AG82" s="3">
        <f t="shared" si="14"/>
        <v>0.0830169326380664</v>
      </c>
      <c r="AH82" s="3">
        <f t="shared" si="8"/>
        <v>0.0805507318399586</v>
      </c>
      <c r="AI82" s="3">
        <f t="shared" ref="AI82:AJ82" si="16">(($B82-$AJ$2)*((AI$2-$AJ$2)/($B$2-$AJ$2)))+$AJ$2</f>
        <v>0.0781221179735197</v>
      </c>
      <c r="AJ82" s="3">
        <f t="shared" si="16"/>
        <v>0.0757302382536226</v>
      </c>
    </row>
    <row r="83" spans="1:36">
      <c r="A83" t="str">
        <f>"recycling_archetype_"&amp;TEXT(ROUND(Table26[[#This Row],[2016]],3),"0.000")</f>
        <v>recycling_archetype_0.210</v>
      </c>
      <c r="B83" s="3">
        <f t="shared" si="13"/>
        <v>0.21</v>
      </c>
      <c r="C83" s="3">
        <f t="shared" si="15"/>
        <v>0.21</v>
      </c>
      <c r="D83" s="3">
        <f t="shared" si="15"/>
        <v>0.21</v>
      </c>
      <c r="E83" s="3">
        <f t="shared" si="15"/>
        <v>0.20640304374473</v>
      </c>
      <c r="F83" s="3">
        <f t="shared" si="15"/>
        <v>0.202977032640051</v>
      </c>
      <c r="G83" s="3">
        <f t="shared" si="15"/>
        <v>0.199710063301325</v>
      </c>
      <c r="H83" s="3">
        <f t="shared" si="15"/>
        <v>0.196591312428378</v>
      </c>
      <c r="I83" s="3">
        <f t="shared" si="15"/>
        <v>0.193610917017485</v>
      </c>
      <c r="J83" s="3">
        <f t="shared" si="15"/>
        <v>0.190759870169689</v>
      </c>
      <c r="K83" s="3">
        <f t="shared" si="15"/>
        <v>0.188029930176687</v>
      </c>
      <c r="L83" s="3">
        <f t="shared" si="15"/>
        <v>0.185413540951332</v>
      </c>
      <c r="M83" s="3">
        <f t="shared" si="15"/>
        <v>0.182903762184826</v>
      </c>
      <c r="N83" s="3">
        <f t="shared" si="15"/>
        <v>0.180494207871132</v>
      </c>
      <c r="O83" s="3">
        <f t="shared" si="15"/>
        <v>0.178178992052038</v>
      </c>
      <c r="P83" s="3">
        <f t="shared" si="15"/>
        <v>0.175952680812407</v>
      </c>
      <c r="Q83" s="3">
        <f t="shared" si="15"/>
        <v>0.170320949489716</v>
      </c>
      <c r="R83" s="3">
        <f t="shared" si="15"/>
        <v>0.164859908088371</v>
      </c>
      <c r="S83" s="3">
        <f t="shared" si="14"/>
        <v>0.159561912390991</v>
      </c>
      <c r="T83" s="3">
        <f t="shared" si="14"/>
        <v>0.154419767920339</v>
      </c>
      <c r="U83" s="3">
        <f t="shared" si="14"/>
        <v>0.14942669734371</v>
      </c>
      <c r="V83" s="3">
        <f t="shared" si="14"/>
        <v>0.142768570476409</v>
      </c>
      <c r="W83" s="3">
        <f t="shared" si="14"/>
        <v>0.136324531955208</v>
      </c>
      <c r="X83" s="3">
        <f t="shared" si="14"/>
        <v>0.130084419327525</v>
      </c>
      <c r="Y83" s="3">
        <f t="shared" si="14"/>
        <v>0.1240387033173</v>
      </c>
      <c r="Z83" s="3">
        <f t="shared" si="14"/>
        <v>0.118178439268372</v>
      </c>
      <c r="AA83" s="3">
        <f t="shared" si="14"/>
        <v>0.11182196454211</v>
      </c>
      <c r="AB83" s="3">
        <f t="shared" si="14"/>
        <v>0.105591818226548</v>
      </c>
      <c r="AC83" s="3">
        <f t="shared" si="14"/>
        <v>0.0994842714046424</v>
      </c>
      <c r="AD83" s="3">
        <f t="shared" si="14"/>
        <v>0.0934957404878923</v>
      </c>
      <c r="AE83" s="3">
        <f t="shared" si="14"/>
        <v>0.087622780204722</v>
      </c>
      <c r="AF83" s="3">
        <f t="shared" si="14"/>
        <v>0.085170074723039</v>
      </c>
      <c r="AG83" s="3">
        <f t="shared" si="14"/>
        <v>0.0827553290317605</v>
      </c>
      <c r="AH83" s="3">
        <f t="shared" ref="AH83:AJ108" si="17">(($B83-$AJ$2)*((AH$2-$AJ$2)/($B$2-$AJ$2)))+$AJ$2</f>
        <v>0.0803776686593411</v>
      </c>
      <c r="AI83" s="3">
        <f t="shared" si="17"/>
        <v>0.0780362457895687</v>
      </c>
      <c r="AJ83" s="3">
        <f t="shared" si="17"/>
        <v>0.0757302382536226</v>
      </c>
    </row>
    <row r="84" spans="1:36">
      <c r="A84" t="str">
        <f>"recycling_archetype_"&amp;TEXT(ROUND(Table26[[#This Row],[2016]],3),"0.000")</f>
        <v>recycling_archetype_0.205</v>
      </c>
      <c r="B84" s="3">
        <f t="shared" si="13"/>
        <v>0.205</v>
      </c>
      <c r="C84" s="3">
        <f t="shared" si="15"/>
        <v>0.205</v>
      </c>
      <c r="D84" s="3">
        <f t="shared" si="15"/>
        <v>0.205</v>
      </c>
      <c r="E84" s="3">
        <f t="shared" si="15"/>
        <v>0.201536988879081</v>
      </c>
      <c r="F84" s="3">
        <f t="shared" si="15"/>
        <v>0.19823855717352</v>
      </c>
      <c r="G84" s="3">
        <f t="shared" si="15"/>
        <v>0.195093244762469</v>
      </c>
      <c r="H84" s="3">
        <f t="shared" si="15"/>
        <v>0.192090631388851</v>
      </c>
      <c r="I84" s="3">
        <f t="shared" si="15"/>
        <v>0.189221221332074</v>
      </c>
      <c r="J84" s="3">
        <f t="shared" si="15"/>
        <v>0.186476343096283</v>
      </c>
      <c r="K84" s="3">
        <f t="shared" si="15"/>
        <v>0.183848061881754</v>
      </c>
      <c r="L84" s="3">
        <f t="shared" si="15"/>
        <v>0.181329102978436</v>
      </c>
      <c r="M84" s="3">
        <f t="shared" si="15"/>
        <v>0.178912784523987</v>
      </c>
      <c r="N84" s="3">
        <f t="shared" si="15"/>
        <v>0.176592958317439</v>
      </c>
      <c r="O84" s="3">
        <f t="shared" si="15"/>
        <v>0.174363957584637</v>
      </c>
      <c r="P84" s="3">
        <f t="shared" si="15"/>
        <v>0.172220550761111</v>
      </c>
      <c r="Q84" s="3">
        <f t="shared" si="15"/>
        <v>0.16679853647558</v>
      </c>
      <c r="R84" s="3">
        <f t="shared" si="15"/>
        <v>0.161540855880506</v>
      </c>
      <c r="S84" s="3">
        <f t="shared" si="14"/>
        <v>0.156440149417444</v>
      </c>
      <c r="T84" s="3">
        <f t="shared" si="14"/>
        <v>0.151489490520452</v>
      </c>
      <c r="U84" s="3">
        <f t="shared" si="14"/>
        <v>0.146682354234303</v>
      </c>
      <c r="V84" s="3">
        <f t="shared" si="14"/>
        <v>0.140272165800075</v>
      </c>
      <c r="W84" s="3">
        <f t="shared" si="14"/>
        <v>0.134068093390282</v>
      </c>
      <c r="X84" s="3">
        <f t="shared" si="14"/>
        <v>0.128060352986491</v>
      </c>
      <c r="Y84" s="3">
        <f t="shared" si="14"/>
        <v>0.122239770168267</v>
      </c>
      <c r="Z84" s="3">
        <f t="shared" si="14"/>
        <v>0.116597733364726</v>
      </c>
      <c r="AA84" s="3">
        <f t="shared" si="14"/>
        <v>0.110477964008443</v>
      </c>
      <c r="AB84" s="3">
        <f t="shared" si="14"/>
        <v>0.104479818786594</v>
      </c>
      <c r="AC84" s="3">
        <f t="shared" si="14"/>
        <v>0.0985997076412878</v>
      </c>
      <c r="AD84" s="3">
        <f t="shared" si="14"/>
        <v>0.0928341804313613</v>
      </c>
      <c r="AE84" s="3">
        <f t="shared" si="14"/>
        <v>0.0871799201818688</v>
      </c>
      <c r="AF84" s="3">
        <f t="shared" si="14"/>
        <v>0.0848185496906475</v>
      </c>
      <c r="AG84" s="3">
        <f t="shared" si="14"/>
        <v>0.0824937254254545</v>
      </c>
      <c r="AH84" s="3">
        <f t="shared" si="17"/>
        <v>0.0802046054787235</v>
      </c>
      <c r="AI84" s="3">
        <f t="shared" si="17"/>
        <v>0.0779503736056178</v>
      </c>
      <c r="AJ84" s="3">
        <f t="shared" si="17"/>
        <v>0.0757302382536226</v>
      </c>
    </row>
    <row r="85" spans="1:36">
      <c r="A85" t="str">
        <f>"recycling_archetype_"&amp;TEXT(ROUND(Table26[[#This Row],[2016]],3),"0.000")</f>
        <v>recycling_archetype_0.200</v>
      </c>
      <c r="B85" s="3">
        <f t="shared" si="13"/>
        <v>0.2</v>
      </c>
      <c r="C85" s="3">
        <f t="shared" si="15"/>
        <v>0.2</v>
      </c>
      <c r="D85" s="3">
        <f t="shared" si="15"/>
        <v>0.2</v>
      </c>
      <c r="E85" s="3">
        <f t="shared" si="15"/>
        <v>0.196670934013432</v>
      </c>
      <c r="F85" s="3">
        <f t="shared" si="15"/>
        <v>0.193500081706989</v>
      </c>
      <c r="G85" s="3">
        <f t="shared" si="15"/>
        <v>0.190476426223612</v>
      </c>
      <c r="H85" s="3">
        <f t="shared" si="15"/>
        <v>0.187589950349324</v>
      </c>
      <c r="I85" s="3">
        <f t="shared" si="15"/>
        <v>0.184831525646662</v>
      </c>
      <c r="J85" s="3">
        <f t="shared" si="15"/>
        <v>0.182192816022877</v>
      </c>
      <c r="K85" s="3">
        <f t="shared" si="15"/>
        <v>0.179666193586821</v>
      </c>
      <c r="L85" s="3">
        <f t="shared" si="15"/>
        <v>0.177244665005541</v>
      </c>
      <c r="M85" s="3">
        <f t="shared" si="15"/>
        <v>0.174921806863147</v>
      </c>
      <c r="N85" s="3">
        <f t="shared" si="15"/>
        <v>0.172691708763746</v>
      </c>
      <c r="O85" s="3">
        <f t="shared" si="15"/>
        <v>0.170548923117237</v>
      </c>
      <c r="P85" s="3">
        <f t="shared" si="15"/>
        <v>0.168488420709816</v>
      </c>
      <c r="Q85" s="3">
        <f t="shared" si="15"/>
        <v>0.163276123461443</v>
      </c>
      <c r="R85" s="3">
        <f t="shared" si="15"/>
        <v>0.158221803672642</v>
      </c>
      <c r="S85" s="3">
        <f t="shared" si="14"/>
        <v>0.153318386443897</v>
      </c>
      <c r="T85" s="3">
        <f t="shared" si="14"/>
        <v>0.148559213120566</v>
      </c>
      <c r="U85" s="3">
        <f t="shared" si="14"/>
        <v>0.143938011124895</v>
      </c>
      <c r="V85" s="3">
        <f t="shared" si="14"/>
        <v>0.137775761123741</v>
      </c>
      <c r="W85" s="3">
        <f t="shared" si="14"/>
        <v>0.131811654825356</v>
      </c>
      <c r="X85" s="3">
        <f t="shared" si="14"/>
        <v>0.126036286645456</v>
      </c>
      <c r="Y85" s="3">
        <f t="shared" si="14"/>
        <v>0.120440837019233</v>
      </c>
      <c r="Z85" s="3">
        <f t="shared" si="14"/>
        <v>0.115017027461079</v>
      </c>
      <c r="AA85" s="3">
        <f t="shared" si="14"/>
        <v>0.109133963474776</v>
      </c>
      <c r="AB85" s="3">
        <f t="shared" si="14"/>
        <v>0.103367819346641</v>
      </c>
      <c r="AC85" s="3">
        <f t="shared" si="14"/>
        <v>0.0977151438779332</v>
      </c>
      <c r="AD85" s="3">
        <f t="shared" si="14"/>
        <v>0.0921726203748302</v>
      </c>
      <c r="AE85" s="3">
        <f t="shared" si="14"/>
        <v>0.0867370601590156</v>
      </c>
      <c r="AF85" s="3">
        <f t="shared" si="14"/>
        <v>0.0844670246582561</v>
      </c>
      <c r="AG85" s="3">
        <f t="shared" si="14"/>
        <v>0.0822321218191486</v>
      </c>
      <c r="AH85" s="3">
        <f t="shared" si="17"/>
        <v>0.0800315422981059</v>
      </c>
      <c r="AI85" s="3">
        <f t="shared" si="17"/>
        <v>0.0778645014216669</v>
      </c>
      <c r="AJ85" s="3">
        <f t="shared" si="17"/>
        <v>0.0757302382536226</v>
      </c>
    </row>
    <row r="86" spans="1:36">
      <c r="A86" t="str">
        <f>"recycling_archetype_"&amp;TEXT(ROUND(Table26[[#This Row],[2016]],3),"0.000")</f>
        <v>recycling_archetype_0.195</v>
      </c>
      <c r="B86" s="3">
        <f t="shared" si="13"/>
        <v>0.195</v>
      </c>
      <c r="C86" s="3">
        <f t="shared" si="15"/>
        <v>0.195</v>
      </c>
      <c r="D86" s="3">
        <f t="shared" si="15"/>
        <v>0.195</v>
      </c>
      <c r="E86" s="3">
        <f t="shared" si="15"/>
        <v>0.191804879147782</v>
      </c>
      <c r="F86" s="3">
        <f t="shared" si="15"/>
        <v>0.188761606240459</v>
      </c>
      <c r="G86" s="3">
        <f t="shared" si="15"/>
        <v>0.185859607684756</v>
      </c>
      <c r="H86" s="3">
        <f t="shared" si="15"/>
        <v>0.183089269309796</v>
      </c>
      <c r="I86" s="3">
        <f t="shared" si="15"/>
        <v>0.180441829961251</v>
      </c>
      <c r="J86" s="3">
        <f t="shared" si="15"/>
        <v>0.177909288949472</v>
      </c>
      <c r="K86" s="3">
        <f t="shared" si="15"/>
        <v>0.175484325291889</v>
      </c>
      <c r="L86" s="3">
        <f t="shared" si="15"/>
        <v>0.173160227032645</v>
      </c>
      <c r="M86" s="3">
        <f t="shared" si="15"/>
        <v>0.170930829202308</v>
      </c>
      <c r="N86" s="3">
        <f t="shared" si="15"/>
        <v>0.168790459210052</v>
      </c>
      <c r="O86" s="3">
        <f t="shared" si="15"/>
        <v>0.166733888649837</v>
      </c>
      <c r="P86" s="3">
        <f t="shared" si="15"/>
        <v>0.164756290658521</v>
      </c>
      <c r="Q86" s="3">
        <f t="shared" si="15"/>
        <v>0.159753710447307</v>
      </c>
      <c r="R86" s="3">
        <f t="shared" si="15"/>
        <v>0.154902751464777</v>
      </c>
      <c r="S86" s="3">
        <f t="shared" si="14"/>
        <v>0.15019662347035</v>
      </c>
      <c r="T86" s="3">
        <f t="shared" si="14"/>
        <v>0.145628935720679</v>
      </c>
      <c r="U86" s="3">
        <f t="shared" si="14"/>
        <v>0.141193668015488</v>
      </c>
      <c r="V86" s="3">
        <f t="shared" si="14"/>
        <v>0.135279356447407</v>
      </c>
      <c r="W86" s="3">
        <f t="shared" si="14"/>
        <v>0.129555216260431</v>
      </c>
      <c r="X86" s="3">
        <f t="shared" si="14"/>
        <v>0.124012220304422</v>
      </c>
      <c r="Y86" s="3">
        <f t="shared" si="14"/>
        <v>0.1186419038702</v>
      </c>
      <c r="Z86" s="3">
        <f t="shared" si="14"/>
        <v>0.113436321557432</v>
      </c>
      <c r="AA86" s="3">
        <f t="shared" si="14"/>
        <v>0.10778996294111</v>
      </c>
      <c r="AB86" s="3">
        <f t="shared" si="14"/>
        <v>0.102255819906688</v>
      </c>
      <c r="AC86" s="3">
        <f t="shared" si="14"/>
        <v>0.0968305801145786</v>
      </c>
      <c r="AD86" s="3">
        <f t="shared" si="14"/>
        <v>0.0915110603182991</v>
      </c>
      <c r="AE86" s="3">
        <f t="shared" si="14"/>
        <v>0.0862942001361623</v>
      </c>
      <c r="AF86" s="3">
        <f t="shared" si="14"/>
        <v>0.0841154996258647</v>
      </c>
      <c r="AG86" s="3">
        <f t="shared" si="14"/>
        <v>0.0819705182128427</v>
      </c>
      <c r="AH86" s="3">
        <f t="shared" si="17"/>
        <v>0.0798584791174883</v>
      </c>
      <c r="AI86" s="3">
        <f t="shared" si="17"/>
        <v>0.077778629237716</v>
      </c>
      <c r="AJ86" s="3">
        <f t="shared" si="17"/>
        <v>0.0757302382536226</v>
      </c>
    </row>
    <row r="87" spans="1:36">
      <c r="A87" t="str">
        <f>"recycling_archetype_"&amp;TEXT(ROUND(Table26[[#This Row],[2016]],3),"0.000")</f>
        <v>recycling_archetype_0.190</v>
      </c>
      <c r="B87" s="3">
        <f t="shared" si="13"/>
        <v>0.19</v>
      </c>
      <c r="C87" s="3">
        <f t="shared" si="15"/>
        <v>0.19</v>
      </c>
      <c r="D87" s="3">
        <f t="shared" si="15"/>
        <v>0.19</v>
      </c>
      <c r="E87" s="3">
        <f t="shared" si="15"/>
        <v>0.186938824282133</v>
      </c>
      <c r="F87" s="3">
        <f t="shared" si="15"/>
        <v>0.184023130773928</v>
      </c>
      <c r="G87" s="3">
        <f t="shared" si="15"/>
        <v>0.181242789145899</v>
      </c>
      <c r="H87" s="3">
        <f t="shared" si="15"/>
        <v>0.178588588270269</v>
      </c>
      <c r="I87" s="3">
        <f t="shared" si="15"/>
        <v>0.176052134275839</v>
      </c>
      <c r="J87" s="3">
        <f t="shared" si="15"/>
        <v>0.173625761876066</v>
      </c>
      <c r="K87" s="3">
        <f t="shared" si="15"/>
        <v>0.171302456996956</v>
      </c>
      <c r="L87" s="3">
        <f t="shared" si="15"/>
        <v>0.16907578905975</v>
      </c>
      <c r="M87" s="3">
        <f t="shared" si="15"/>
        <v>0.166939851541469</v>
      </c>
      <c r="N87" s="3">
        <f t="shared" si="15"/>
        <v>0.164889209656359</v>
      </c>
      <c r="O87" s="3">
        <f t="shared" si="15"/>
        <v>0.162918854182436</v>
      </c>
      <c r="P87" s="3">
        <f t="shared" si="15"/>
        <v>0.161024160607225</v>
      </c>
      <c r="Q87" s="3">
        <f t="shared" si="15"/>
        <v>0.15623129743317</v>
      </c>
      <c r="R87" s="3">
        <f t="shared" si="15"/>
        <v>0.151583699256913</v>
      </c>
      <c r="S87" s="3">
        <f t="shared" si="14"/>
        <v>0.147074860496803</v>
      </c>
      <c r="T87" s="3">
        <f t="shared" si="14"/>
        <v>0.142698658320792</v>
      </c>
      <c r="U87" s="3">
        <f t="shared" si="14"/>
        <v>0.138449324906081</v>
      </c>
      <c r="V87" s="3">
        <f t="shared" si="14"/>
        <v>0.132782951771073</v>
      </c>
      <c r="W87" s="3">
        <f t="shared" si="14"/>
        <v>0.127298777695505</v>
      </c>
      <c r="X87" s="3">
        <f t="shared" si="14"/>
        <v>0.121988153963388</v>
      </c>
      <c r="Y87" s="3">
        <f t="shared" si="14"/>
        <v>0.116842970721166</v>
      </c>
      <c r="Z87" s="3">
        <f t="shared" si="14"/>
        <v>0.111855615653785</v>
      </c>
      <c r="AA87" s="3">
        <f t="shared" si="14"/>
        <v>0.106445962407443</v>
      </c>
      <c r="AB87" s="3">
        <f t="shared" si="14"/>
        <v>0.101143820466735</v>
      </c>
      <c r="AC87" s="3">
        <f t="shared" si="14"/>
        <v>0.095946016351224</v>
      </c>
      <c r="AD87" s="3">
        <f t="shared" si="14"/>
        <v>0.090849500261768</v>
      </c>
      <c r="AE87" s="3">
        <f t="shared" si="14"/>
        <v>0.0858513401133091</v>
      </c>
      <c r="AF87" s="3">
        <f t="shared" si="14"/>
        <v>0.0837639745934733</v>
      </c>
      <c r="AG87" s="3">
        <f t="shared" si="14"/>
        <v>0.0817089146065368</v>
      </c>
      <c r="AH87" s="3">
        <f t="shared" si="17"/>
        <v>0.0796854159368708</v>
      </c>
      <c r="AI87" s="3">
        <f t="shared" si="17"/>
        <v>0.0776927570537651</v>
      </c>
      <c r="AJ87" s="3">
        <f t="shared" si="17"/>
        <v>0.0757302382536226</v>
      </c>
    </row>
    <row r="88" spans="1:36">
      <c r="A88" t="str">
        <f>"recycling_archetype_"&amp;TEXT(ROUND(Table26[[#This Row],[2016]],3),"0.000")</f>
        <v>recycling_archetype_0.185</v>
      </c>
      <c r="B88" s="3">
        <f t="shared" si="13"/>
        <v>0.185</v>
      </c>
      <c r="C88" s="3">
        <f t="shared" si="15"/>
        <v>0.185</v>
      </c>
      <c r="D88" s="3">
        <f t="shared" si="15"/>
        <v>0.185</v>
      </c>
      <c r="E88" s="3">
        <f t="shared" si="15"/>
        <v>0.182072769416484</v>
      </c>
      <c r="F88" s="3">
        <f t="shared" si="15"/>
        <v>0.179284655307397</v>
      </c>
      <c r="G88" s="3">
        <f t="shared" si="15"/>
        <v>0.176625970607043</v>
      </c>
      <c r="H88" s="3">
        <f t="shared" si="15"/>
        <v>0.174087907230742</v>
      </c>
      <c r="I88" s="3">
        <f t="shared" si="15"/>
        <v>0.171662438590427</v>
      </c>
      <c r="J88" s="3">
        <f t="shared" si="15"/>
        <v>0.16934223480266</v>
      </c>
      <c r="K88" s="3">
        <f t="shared" si="15"/>
        <v>0.167120588702024</v>
      </c>
      <c r="L88" s="3">
        <f t="shared" si="15"/>
        <v>0.164991351086854</v>
      </c>
      <c r="M88" s="3">
        <f t="shared" si="15"/>
        <v>0.162948873880629</v>
      </c>
      <c r="N88" s="3">
        <f t="shared" si="15"/>
        <v>0.160987960102666</v>
      </c>
      <c r="O88" s="3">
        <f t="shared" si="15"/>
        <v>0.159103819715036</v>
      </c>
      <c r="P88" s="3">
        <f t="shared" si="15"/>
        <v>0.15729203055593</v>
      </c>
      <c r="Q88" s="3">
        <f t="shared" si="15"/>
        <v>0.152708884419033</v>
      </c>
      <c r="R88" s="3">
        <f t="shared" si="15"/>
        <v>0.148264647049049</v>
      </c>
      <c r="S88" s="3">
        <f t="shared" si="14"/>
        <v>0.143953097523256</v>
      </c>
      <c r="T88" s="3">
        <f t="shared" si="14"/>
        <v>0.139768380920906</v>
      </c>
      <c r="U88" s="3">
        <f t="shared" si="14"/>
        <v>0.135704981796673</v>
      </c>
      <c r="V88" s="3">
        <f t="shared" si="14"/>
        <v>0.130286547094738</v>
      </c>
      <c r="W88" s="3">
        <f t="shared" si="14"/>
        <v>0.125042339130579</v>
      </c>
      <c r="X88" s="3">
        <f t="shared" si="14"/>
        <v>0.119964087622354</v>
      </c>
      <c r="Y88" s="3">
        <f t="shared" si="14"/>
        <v>0.115044037572133</v>
      </c>
      <c r="Z88" s="3">
        <f t="shared" si="14"/>
        <v>0.110274909750138</v>
      </c>
      <c r="AA88" s="3">
        <f t="shared" si="14"/>
        <v>0.105101961873776</v>
      </c>
      <c r="AB88" s="3">
        <f t="shared" si="14"/>
        <v>0.100031821026782</v>
      </c>
      <c r="AC88" s="3">
        <f t="shared" si="14"/>
        <v>0.0950614525878694</v>
      </c>
      <c r="AD88" s="3">
        <f t="shared" si="14"/>
        <v>0.0901879402052369</v>
      </c>
      <c r="AE88" s="3">
        <f t="shared" si="14"/>
        <v>0.0854084800904559</v>
      </c>
      <c r="AF88" s="3">
        <f t="shared" si="14"/>
        <v>0.0834124495610819</v>
      </c>
      <c r="AG88" s="3">
        <f t="shared" si="14"/>
        <v>0.0814473110002309</v>
      </c>
      <c r="AH88" s="3">
        <f t="shared" si="17"/>
        <v>0.0795123527562532</v>
      </c>
      <c r="AI88" s="3">
        <f t="shared" si="17"/>
        <v>0.0776068848698142</v>
      </c>
      <c r="AJ88" s="3">
        <f t="shared" si="17"/>
        <v>0.0757302382536226</v>
      </c>
    </row>
    <row r="89" spans="1:36">
      <c r="A89" t="str">
        <f>"recycling_archetype_"&amp;TEXT(ROUND(Table26[[#This Row],[2016]],3),"0.000")</f>
        <v>recycling_archetype_0.180</v>
      </c>
      <c r="B89" s="3">
        <f t="shared" si="13"/>
        <v>0.18</v>
      </c>
      <c r="C89" s="3">
        <f t="shared" si="15"/>
        <v>0.18</v>
      </c>
      <c r="D89" s="3">
        <f t="shared" si="15"/>
        <v>0.18</v>
      </c>
      <c r="E89" s="3">
        <f t="shared" si="15"/>
        <v>0.177206714550834</v>
      </c>
      <c r="F89" s="3">
        <f t="shared" si="15"/>
        <v>0.174546179840866</v>
      </c>
      <c r="G89" s="3">
        <f t="shared" si="15"/>
        <v>0.172009152068187</v>
      </c>
      <c r="H89" s="3">
        <f t="shared" si="15"/>
        <v>0.169587226191214</v>
      </c>
      <c r="I89" s="3">
        <f t="shared" si="15"/>
        <v>0.167272742905016</v>
      </c>
      <c r="J89" s="3">
        <f t="shared" si="15"/>
        <v>0.165058707729255</v>
      </c>
      <c r="K89" s="3">
        <f t="shared" si="15"/>
        <v>0.162938720407091</v>
      </c>
      <c r="L89" s="3">
        <f t="shared" si="15"/>
        <v>0.160906913113958</v>
      </c>
      <c r="M89" s="3">
        <f t="shared" si="15"/>
        <v>0.15895789621979</v>
      </c>
      <c r="N89" s="3">
        <f t="shared" si="15"/>
        <v>0.157086710548973</v>
      </c>
      <c r="O89" s="3">
        <f t="shared" si="15"/>
        <v>0.155288785247635</v>
      </c>
      <c r="P89" s="3">
        <f t="shared" si="15"/>
        <v>0.153559900504635</v>
      </c>
      <c r="Q89" s="3">
        <f t="shared" si="15"/>
        <v>0.149186471404896</v>
      </c>
      <c r="R89" s="3">
        <f t="shared" si="15"/>
        <v>0.144945594841184</v>
      </c>
      <c r="S89" s="3">
        <f t="shared" si="14"/>
        <v>0.140831334549708</v>
      </c>
      <c r="T89" s="3">
        <f t="shared" si="14"/>
        <v>0.136838103521019</v>
      </c>
      <c r="U89" s="3">
        <f t="shared" si="14"/>
        <v>0.132960638687266</v>
      </c>
      <c r="V89" s="3">
        <f t="shared" si="14"/>
        <v>0.127790142418404</v>
      </c>
      <c r="W89" s="3">
        <f t="shared" si="14"/>
        <v>0.122785900565653</v>
      </c>
      <c r="X89" s="3">
        <f t="shared" si="14"/>
        <v>0.11794002128132</v>
      </c>
      <c r="Y89" s="3">
        <f t="shared" si="14"/>
        <v>0.113245104423099</v>
      </c>
      <c r="Z89" s="3">
        <f t="shared" si="14"/>
        <v>0.108694203846492</v>
      </c>
      <c r="AA89" s="3">
        <f t="shared" si="14"/>
        <v>0.103757961340109</v>
      </c>
      <c r="AB89" s="3">
        <f t="shared" si="14"/>
        <v>0.0989198215868283</v>
      </c>
      <c r="AC89" s="3">
        <f t="shared" si="14"/>
        <v>0.0941768888245149</v>
      </c>
      <c r="AD89" s="3">
        <f t="shared" si="14"/>
        <v>0.0895263801487058</v>
      </c>
      <c r="AE89" s="3">
        <f t="shared" si="14"/>
        <v>0.0849656200676027</v>
      </c>
      <c r="AF89" s="3">
        <f t="shared" si="14"/>
        <v>0.0830609245286905</v>
      </c>
      <c r="AG89" s="3">
        <f t="shared" si="14"/>
        <v>0.0811857073939249</v>
      </c>
      <c r="AH89" s="3">
        <f t="shared" si="17"/>
        <v>0.0793392895756356</v>
      </c>
      <c r="AI89" s="3">
        <f t="shared" si="17"/>
        <v>0.0775210126858632</v>
      </c>
      <c r="AJ89" s="3">
        <f t="shared" si="17"/>
        <v>0.0757302382536226</v>
      </c>
    </row>
    <row r="90" spans="1:36">
      <c r="A90" t="str">
        <f>"recycling_archetype_"&amp;TEXT(ROUND(Table26[[#This Row],[2016]],3),"0.000")</f>
        <v>recycling_archetype_0.175</v>
      </c>
      <c r="B90" s="3">
        <f t="shared" si="13"/>
        <v>0.175</v>
      </c>
      <c r="C90" s="3">
        <f t="shared" si="15"/>
        <v>0.175</v>
      </c>
      <c r="D90" s="3">
        <f t="shared" si="15"/>
        <v>0.175</v>
      </c>
      <c r="E90" s="3">
        <f t="shared" si="15"/>
        <v>0.172340659685185</v>
      </c>
      <c r="F90" s="3">
        <f t="shared" si="15"/>
        <v>0.169807704374335</v>
      </c>
      <c r="G90" s="3">
        <f t="shared" si="15"/>
        <v>0.16739233352933</v>
      </c>
      <c r="H90" s="3">
        <f t="shared" si="15"/>
        <v>0.165086545151687</v>
      </c>
      <c r="I90" s="3">
        <f t="shared" si="15"/>
        <v>0.162883047219604</v>
      </c>
      <c r="J90" s="3">
        <f t="shared" si="15"/>
        <v>0.160775180655849</v>
      </c>
      <c r="K90" s="3">
        <f t="shared" si="15"/>
        <v>0.158756852112159</v>
      </c>
      <c r="L90" s="3">
        <f t="shared" si="15"/>
        <v>0.156822475141063</v>
      </c>
      <c r="M90" s="3">
        <f t="shared" si="15"/>
        <v>0.15496691855895</v>
      </c>
      <c r="N90" s="3">
        <f t="shared" si="15"/>
        <v>0.15318546099528</v>
      </c>
      <c r="O90" s="3">
        <f t="shared" si="15"/>
        <v>0.151473750780235</v>
      </c>
      <c r="P90" s="3">
        <f t="shared" si="15"/>
        <v>0.149827770453339</v>
      </c>
      <c r="Q90" s="3">
        <f t="shared" si="15"/>
        <v>0.14566405839076</v>
      </c>
      <c r="R90" s="3">
        <f t="shared" si="15"/>
        <v>0.14162654263332</v>
      </c>
      <c r="S90" s="3">
        <f t="shared" si="14"/>
        <v>0.137709571576161</v>
      </c>
      <c r="T90" s="3">
        <f t="shared" si="14"/>
        <v>0.133907826121132</v>
      </c>
      <c r="U90" s="3">
        <f t="shared" si="14"/>
        <v>0.130216295577859</v>
      </c>
      <c r="V90" s="3">
        <f t="shared" si="14"/>
        <v>0.12529373774207</v>
      </c>
      <c r="W90" s="3">
        <f t="shared" si="14"/>
        <v>0.120529462000727</v>
      </c>
      <c r="X90" s="3">
        <f t="shared" si="14"/>
        <v>0.115915954940286</v>
      </c>
      <c r="Y90" s="3">
        <f t="shared" si="14"/>
        <v>0.111446171274066</v>
      </c>
      <c r="Z90" s="3">
        <f t="shared" si="14"/>
        <v>0.107113497942845</v>
      </c>
      <c r="AA90" s="3">
        <f t="shared" si="14"/>
        <v>0.102413960806443</v>
      </c>
      <c r="AB90" s="3">
        <f t="shared" si="14"/>
        <v>0.0978078221468751</v>
      </c>
      <c r="AC90" s="3">
        <f t="shared" si="14"/>
        <v>0.0932923250611603</v>
      </c>
      <c r="AD90" s="3">
        <f t="shared" si="14"/>
        <v>0.0888648200921748</v>
      </c>
      <c r="AE90" s="3">
        <f t="shared" si="14"/>
        <v>0.0845227600447495</v>
      </c>
      <c r="AF90" s="3">
        <f t="shared" si="14"/>
        <v>0.0827093994962991</v>
      </c>
      <c r="AG90" s="3">
        <f t="shared" si="14"/>
        <v>0.080924103787619</v>
      </c>
      <c r="AH90" s="3">
        <f t="shared" si="17"/>
        <v>0.079166226395018</v>
      </c>
      <c r="AI90" s="3">
        <f t="shared" si="17"/>
        <v>0.0774351405019123</v>
      </c>
      <c r="AJ90" s="3">
        <f t="shared" si="17"/>
        <v>0.0757302382536226</v>
      </c>
    </row>
    <row r="91" spans="1:36">
      <c r="A91" t="str">
        <f>"recycling_archetype_"&amp;TEXT(ROUND(Table26[[#This Row],[2016]],3),"0.000")</f>
        <v>recycling_archetype_0.170</v>
      </c>
      <c r="B91" s="3">
        <f t="shared" si="13"/>
        <v>0.17</v>
      </c>
      <c r="C91" s="3">
        <f t="shared" si="15"/>
        <v>0.17</v>
      </c>
      <c r="D91" s="3">
        <f t="shared" si="15"/>
        <v>0.17</v>
      </c>
      <c r="E91" s="3">
        <f t="shared" si="15"/>
        <v>0.167474604819536</v>
      </c>
      <c r="F91" s="3">
        <f t="shared" si="15"/>
        <v>0.165069228907805</v>
      </c>
      <c r="G91" s="3">
        <f t="shared" si="15"/>
        <v>0.162775514990474</v>
      </c>
      <c r="H91" s="3">
        <f t="shared" si="15"/>
        <v>0.160585864112159</v>
      </c>
      <c r="I91" s="3">
        <f t="shared" si="15"/>
        <v>0.158493351534193</v>
      </c>
      <c r="J91" s="3">
        <f t="shared" si="15"/>
        <v>0.156491653582444</v>
      </c>
      <c r="K91" s="3">
        <f t="shared" si="15"/>
        <v>0.154574983817226</v>
      </c>
      <c r="L91" s="3">
        <f t="shared" si="15"/>
        <v>0.152738037168167</v>
      </c>
      <c r="M91" s="3">
        <f t="shared" si="15"/>
        <v>0.150975940898111</v>
      </c>
      <c r="N91" s="3">
        <f t="shared" si="15"/>
        <v>0.149284211441586</v>
      </c>
      <c r="O91" s="3">
        <f t="shared" si="15"/>
        <v>0.147658716312834</v>
      </c>
      <c r="P91" s="3">
        <f t="shared" si="15"/>
        <v>0.146095640402044</v>
      </c>
      <c r="Q91" s="3">
        <f t="shared" si="15"/>
        <v>0.142141645376623</v>
      </c>
      <c r="R91" s="3">
        <f t="shared" si="15"/>
        <v>0.138307490425455</v>
      </c>
      <c r="S91" s="3">
        <f t="shared" si="14"/>
        <v>0.134587808602614</v>
      </c>
      <c r="T91" s="3">
        <f t="shared" si="14"/>
        <v>0.130977548721245</v>
      </c>
      <c r="U91" s="3">
        <f t="shared" si="14"/>
        <v>0.127471952468451</v>
      </c>
      <c r="V91" s="3">
        <f t="shared" si="14"/>
        <v>0.122797333065736</v>
      </c>
      <c r="W91" s="3">
        <f t="shared" si="14"/>
        <v>0.118273023435802</v>
      </c>
      <c r="X91" s="3">
        <f t="shared" si="14"/>
        <v>0.113891888599252</v>
      </c>
      <c r="Y91" s="3">
        <f t="shared" si="14"/>
        <v>0.109647238125032</v>
      </c>
      <c r="Z91" s="3">
        <f t="shared" si="14"/>
        <v>0.105532792039198</v>
      </c>
      <c r="AA91" s="3">
        <f t="shared" si="14"/>
        <v>0.101069960272776</v>
      </c>
      <c r="AB91" s="3">
        <f t="shared" si="14"/>
        <v>0.0966958227069218</v>
      </c>
      <c r="AC91" s="3">
        <f t="shared" si="14"/>
        <v>0.0924077612978057</v>
      </c>
      <c r="AD91" s="3">
        <f t="shared" si="14"/>
        <v>0.0882032600356437</v>
      </c>
      <c r="AE91" s="3">
        <f t="shared" si="14"/>
        <v>0.0840799000218962</v>
      </c>
      <c r="AF91" s="3">
        <f t="shared" si="14"/>
        <v>0.0823578744639077</v>
      </c>
      <c r="AG91" s="3">
        <f t="shared" si="14"/>
        <v>0.0806625001813131</v>
      </c>
      <c r="AH91" s="3">
        <f t="shared" si="17"/>
        <v>0.0789931632144005</v>
      </c>
      <c r="AI91" s="3">
        <f t="shared" si="17"/>
        <v>0.0773492683179614</v>
      </c>
      <c r="AJ91" s="3">
        <f t="shared" si="17"/>
        <v>0.0757302382536226</v>
      </c>
    </row>
    <row r="92" spans="1:36">
      <c r="A92" t="str">
        <f>"recycling_archetype_"&amp;TEXT(ROUND(Table26[[#This Row],[2016]],3),"0.000")</f>
        <v>recycling_archetype_0.165</v>
      </c>
      <c r="B92" s="3">
        <f t="shared" si="13"/>
        <v>0.165</v>
      </c>
      <c r="C92" s="3">
        <f t="shared" si="15"/>
        <v>0.165</v>
      </c>
      <c r="D92" s="3">
        <f t="shared" si="15"/>
        <v>0.165</v>
      </c>
      <c r="E92" s="3">
        <f t="shared" si="15"/>
        <v>0.162608549953886</v>
      </c>
      <c r="F92" s="3">
        <f t="shared" si="15"/>
        <v>0.160330753441274</v>
      </c>
      <c r="G92" s="3">
        <f t="shared" si="15"/>
        <v>0.158158696451617</v>
      </c>
      <c r="H92" s="3">
        <f t="shared" si="15"/>
        <v>0.156085183072632</v>
      </c>
      <c r="I92" s="3">
        <f t="shared" si="15"/>
        <v>0.154103655848781</v>
      </c>
      <c r="J92" s="3">
        <f t="shared" si="15"/>
        <v>0.152208126509038</v>
      </c>
      <c r="K92" s="3">
        <f t="shared" si="15"/>
        <v>0.150393115522294</v>
      </c>
      <c r="L92" s="3">
        <f t="shared" si="15"/>
        <v>0.148653599195272</v>
      </c>
      <c r="M92" s="3">
        <f t="shared" si="15"/>
        <v>0.146984963237272</v>
      </c>
      <c r="N92" s="3">
        <f t="shared" si="15"/>
        <v>0.145382961887893</v>
      </c>
      <c r="O92" s="3">
        <f t="shared" si="15"/>
        <v>0.143843681845434</v>
      </c>
      <c r="P92" s="3">
        <f t="shared" si="15"/>
        <v>0.142363510350749</v>
      </c>
      <c r="Q92" s="3">
        <f t="shared" si="15"/>
        <v>0.138619232362486</v>
      </c>
      <c r="R92" s="3">
        <f t="shared" ref="R92:AG107" si="18">(($B92-$AJ$2)*((R$2-$AJ$2)/($B$2-$AJ$2)))+$AJ$2</f>
        <v>0.134988438217591</v>
      </c>
      <c r="S92" s="3">
        <f t="shared" si="18"/>
        <v>0.131466045629067</v>
      </c>
      <c r="T92" s="3">
        <f t="shared" si="18"/>
        <v>0.128047271321359</v>
      </c>
      <c r="U92" s="3">
        <f t="shared" si="18"/>
        <v>0.124727609359044</v>
      </c>
      <c r="V92" s="3">
        <f t="shared" si="18"/>
        <v>0.120300928389402</v>
      </c>
      <c r="W92" s="3">
        <f t="shared" si="18"/>
        <v>0.116016584870876</v>
      </c>
      <c r="X92" s="3">
        <f t="shared" si="18"/>
        <v>0.111867822258218</v>
      </c>
      <c r="Y92" s="3">
        <f t="shared" si="18"/>
        <v>0.107848304975999</v>
      </c>
      <c r="Z92" s="3">
        <f t="shared" si="18"/>
        <v>0.103952086135551</v>
      </c>
      <c r="AA92" s="3">
        <f t="shared" si="18"/>
        <v>0.0997259597391093</v>
      </c>
      <c r="AB92" s="3">
        <f t="shared" si="18"/>
        <v>0.0955838232669686</v>
      </c>
      <c r="AC92" s="3">
        <f t="shared" si="18"/>
        <v>0.0915231975344511</v>
      </c>
      <c r="AD92" s="3">
        <f t="shared" si="18"/>
        <v>0.0875416999791126</v>
      </c>
      <c r="AE92" s="3">
        <f t="shared" si="18"/>
        <v>0.083637039999043</v>
      </c>
      <c r="AF92" s="3">
        <f t="shared" si="18"/>
        <v>0.0820063494315163</v>
      </c>
      <c r="AG92" s="3">
        <f t="shared" si="18"/>
        <v>0.0804008965750072</v>
      </c>
      <c r="AH92" s="3">
        <f t="shared" si="17"/>
        <v>0.0788201000337829</v>
      </c>
      <c r="AI92" s="3">
        <f t="shared" si="17"/>
        <v>0.0772633961340105</v>
      </c>
      <c r="AJ92" s="3">
        <f t="shared" si="17"/>
        <v>0.0757302382536226</v>
      </c>
    </row>
    <row r="93" spans="1:36">
      <c r="A93" t="str">
        <f>"recycling_archetype_"&amp;TEXT(ROUND(Table26[[#This Row],[2016]],3),"0.000")</f>
        <v>recycling_archetype_0.160</v>
      </c>
      <c r="B93" s="3">
        <f t="shared" si="13"/>
        <v>0.16</v>
      </c>
      <c r="C93" s="3">
        <f t="shared" ref="C93:R108" si="19">(($B93-$AJ$2)*((C$2-$AJ$2)/($B$2-$AJ$2)))+$AJ$2</f>
        <v>0.16</v>
      </c>
      <c r="D93" s="3">
        <f t="shared" si="19"/>
        <v>0.16</v>
      </c>
      <c r="E93" s="3">
        <f t="shared" si="19"/>
        <v>0.157742495088237</v>
      </c>
      <c r="F93" s="3">
        <f t="shared" si="19"/>
        <v>0.155592277974743</v>
      </c>
      <c r="G93" s="3">
        <f t="shared" si="19"/>
        <v>0.153541877912761</v>
      </c>
      <c r="H93" s="3">
        <f t="shared" si="19"/>
        <v>0.151584502033105</v>
      </c>
      <c r="I93" s="3">
        <f t="shared" si="19"/>
        <v>0.14971396016337</v>
      </c>
      <c r="J93" s="3">
        <f t="shared" si="19"/>
        <v>0.147924599435632</v>
      </c>
      <c r="K93" s="3">
        <f t="shared" si="19"/>
        <v>0.146211247227361</v>
      </c>
      <c r="L93" s="3">
        <f t="shared" si="19"/>
        <v>0.144569161222376</v>
      </c>
      <c r="M93" s="3">
        <f t="shared" si="19"/>
        <v>0.142993985576432</v>
      </c>
      <c r="N93" s="3">
        <f t="shared" si="19"/>
        <v>0.1414817123342</v>
      </c>
      <c r="O93" s="3">
        <f t="shared" si="19"/>
        <v>0.140028647378033</v>
      </c>
      <c r="P93" s="3">
        <f t="shared" si="19"/>
        <v>0.138631380299453</v>
      </c>
      <c r="Q93" s="3">
        <f t="shared" si="19"/>
        <v>0.13509681934835</v>
      </c>
      <c r="R93" s="3">
        <f t="shared" si="19"/>
        <v>0.131669386009727</v>
      </c>
      <c r="S93" s="3">
        <f t="shared" si="18"/>
        <v>0.12834428265552</v>
      </c>
      <c r="T93" s="3">
        <f t="shared" si="18"/>
        <v>0.125116993921472</v>
      </c>
      <c r="U93" s="3">
        <f t="shared" si="18"/>
        <v>0.121983266249637</v>
      </c>
      <c r="V93" s="3">
        <f t="shared" si="18"/>
        <v>0.117804523713068</v>
      </c>
      <c r="W93" s="3">
        <f t="shared" si="18"/>
        <v>0.11376014630595</v>
      </c>
      <c r="X93" s="3">
        <f t="shared" si="18"/>
        <v>0.109843755917184</v>
      </c>
      <c r="Y93" s="3">
        <f t="shared" si="18"/>
        <v>0.106049371826965</v>
      </c>
      <c r="Z93" s="3">
        <f t="shared" si="18"/>
        <v>0.102371380231904</v>
      </c>
      <c r="AA93" s="3">
        <f t="shared" si="18"/>
        <v>0.0983819592054426</v>
      </c>
      <c r="AB93" s="3">
        <f t="shared" si="18"/>
        <v>0.0944718238270154</v>
      </c>
      <c r="AC93" s="3">
        <f t="shared" si="18"/>
        <v>0.0906386337710965</v>
      </c>
      <c r="AD93" s="3">
        <f t="shared" si="18"/>
        <v>0.0868801399225815</v>
      </c>
      <c r="AE93" s="3">
        <f t="shared" si="18"/>
        <v>0.0831941799761898</v>
      </c>
      <c r="AF93" s="3">
        <f t="shared" si="18"/>
        <v>0.0816548243991249</v>
      </c>
      <c r="AG93" s="3">
        <f t="shared" si="18"/>
        <v>0.0801392929687012</v>
      </c>
      <c r="AH93" s="3">
        <f t="shared" si="17"/>
        <v>0.0786470368531653</v>
      </c>
      <c r="AI93" s="3">
        <f t="shared" si="17"/>
        <v>0.0771775239500596</v>
      </c>
      <c r="AJ93" s="3">
        <f t="shared" si="17"/>
        <v>0.0757302382536226</v>
      </c>
    </row>
    <row r="94" spans="1:36">
      <c r="A94" t="str">
        <f>"recycling_archetype_"&amp;TEXT(ROUND(Table26[[#This Row],[2016]],3),"0.000")</f>
        <v>recycling_archetype_0.155</v>
      </c>
      <c r="B94" s="3">
        <f t="shared" si="13"/>
        <v>0.155</v>
      </c>
      <c r="C94" s="3">
        <f t="shared" si="19"/>
        <v>0.155</v>
      </c>
      <c r="D94" s="3">
        <f t="shared" si="19"/>
        <v>0.155</v>
      </c>
      <c r="E94" s="3">
        <f t="shared" si="19"/>
        <v>0.152876440222588</v>
      </c>
      <c r="F94" s="3">
        <f t="shared" si="19"/>
        <v>0.150853802508212</v>
      </c>
      <c r="G94" s="3">
        <f t="shared" si="19"/>
        <v>0.148925059373904</v>
      </c>
      <c r="H94" s="3">
        <f t="shared" si="19"/>
        <v>0.147083820993577</v>
      </c>
      <c r="I94" s="3">
        <f t="shared" si="19"/>
        <v>0.145324264477958</v>
      </c>
      <c r="J94" s="3">
        <f t="shared" si="19"/>
        <v>0.143641072362227</v>
      </c>
      <c r="K94" s="3">
        <f t="shared" si="19"/>
        <v>0.142029378932429</v>
      </c>
      <c r="L94" s="3">
        <f t="shared" si="19"/>
        <v>0.140484723249481</v>
      </c>
      <c r="M94" s="3">
        <f t="shared" si="19"/>
        <v>0.139003007915593</v>
      </c>
      <c r="N94" s="3">
        <f t="shared" si="19"/>
        <v>0.137580462780507</v>
      </c>
      <c r="O94" s="3">
        <f t="shared" si="19"/>
        <v>0.136213612910633</v>
      </c>
      <c r="P94" s="3">
        <f t="shared" si="19"/>
        <v>0.134899250248158</v>
      </c>
      <c r="Q94" s="3">
        <f t="shared" si="19"/>
        <v>0.131574406334213</v>
      </c>
      <c r="R94" s="3">
        <f t="shared" si="19"/>
        <v>0.128350333801862</v>
      </c>
      <c r="S94" s="3">
        <f t="shared" si="18"/>
        <v>0.125222519681972</v>
      </c>
      <c r="T94" s="3">
        <f t="shared" si="18"/>
        <v>0.122186716521585</v>
      </c>
      <c r="U94" s="3">
        <f t="shared" si="18"/>
        <v>0.119238923140229</v>
      </c>
      <c r="V94" s="3">
        <f t="shared" si="18"/>
        <v>0.115308119036733</v>
      </c>
      <c r="W94" s="3">
        <f t="shared" si="18"/>
        <v>0.111503707741024</v>
      </c>
      <c r="X94" s="3">
        <f t="shared" si="18"/>
        <v>0.10781968957615</v>
      </c>
      <c r="Y94" s="3">
        <f t="shared" si="18"/>
        <v>0.104250438677932</v>
      </c>
      <c r="Z94" s="3">
        <f t="shared" si="18"/>
        <v>0.100790674328258</v>
      </c>
      <c r="AA94" s="3">
        <f t="shared" si="18"/>
        <v>0.0970379586717758</v>
      </c>
      <c r="AB94" s="3">
        <f t="shared" si="18"/>
        <v>0.0933598243870621</v>
      </c>
      <c r="AC94" s="3">
        <f t="shared" si="18"/>
        <v>0.089754070007742</v>
      </c>
      <c r="AD94" s="3">
        <f t="shared" si="18"/>
        <v>0.0862185798660504</v>
      </c>
      <c r="AE94" s="3">
        <f t="shared" si="18"/>
        <v>0.0827513199533366</v>
      </c>
      <c r="AF94" s="3">
        <f t="shared" si="18"/>
        <v>0.0813032993667335</v>
      </c>
      <c r="AG94" s="3">
        <f t="shared" si="18"/>
        <v>0.0798776893623953</v>
      </c>
      <c r="AH94" s="3">
        <f t="shared" si="17"/>
        <v>0.0784739736725477</v>
      </c>
      <c r="AI94" s="3">
        <f t="shared" si="17"/>
        <v>0.0770916517661087</v>
      </c>
      <c r="AJ94" s="3">
        <f t="shared" si="17"/>
        <v>0.0757302382536226</v>
      </c>
    </row>
    <row r="95" spans="1:36">
      <c r="A95" t="str">
        <f>"recycling_archetype_"&amp;TEXT(ROUND(Table26[[#This Row],[2016]],3),"0.000")</f>
        <v>recycling_archetype_0.150</v>
      </c>
      <c r="B95" s="3">
        <f t="shared" si="13"/>
        <v>0.15</v>
      </c>
      <c r="C95" s="3">
        <f t="shared" si="19"/>
        <v>0.15</v>
      </c>
      <c r="D95" s="3">
        <f t="shared" si="19"/>
        <v>0.15</v>
      </c>
      <c r="E95" s="3">
        <f t="shared" si="19"/>
        <v>0.148010385356938</v>
      </c>
      <c r="F95" s="3">
        <f t="shared" si="19"/>
        <v>0.146115327041682</v>
      </c>
      <c r="G95" s="3">
        <f t="shared" si="19"/>
        <v>0.144308240835048</v>
      </c>
      <c r="H95" s="3">
        <f t="shared" si="19"/>
        <v>0.14258313995405</v>
      </c>
      <c r="I95" s="3">
        <f t="shared" si="19"/>
        <v>0.140934568792546</v>
      </c>
      <c r="J95" s="3">
        <f t="shared" si="19"/>
        <v>0.139357545288821</v>
      </c>
      <c r="K95" s="3">
        <f t="shared" si="19"/>
        <v>0.137847510637496</v>
      </c>
      <c r="L95" s="3">
        <f t="shared" si="19"/>
        <v>0.136400285276585</v>
      </c>
      <c r="M95" s="3">
        <f t="shared" si="19"/>
        <v>0.135012030254754</v>
      </c>
      <c r="N95" s="3">
        <f t="shared" si="19"/>
        <v>0.133679213226814</v>
      </c>
      <c r="O95" s="3">
        <f t="shared" si="19"/>
        <v>0.132398578443232</v>
      </c>
      <c r="P95" s="3">
        <f t="shared" si="19"/>
        <v>0.131167120196863</v>
      </c>
      <c r="Q95" s="3">
        <f t="shared" si="19"/>
        <v>0.128051993320076</v>
      </c>
      <c r="R95" s="3">
        <f t="shared" si="19"/>
        <v>0.125031281593998</v>
      </c>
      <c r="S95" s="3">
        <f t="shared" si="18"/>
        <v>0.122100756708425</v>
      </c>
      <c r="T95" s="3">
        <f t="shared" si="18"/>
        <v>0.119256439121699</v>
      </c>
      <c r="U95" s="3">
        <f t="shared" si="18"/>
        <v>0.116494580030822</v>
      </c>
      <c r="V95" s="3">
        <f t="shared" si="18"/>
        <v>0.112811714360399</v>
      </c>
      <c r="W95" s="3">
        <f t="shared" si="18"/>
        <v>0.109247269176098</v>
      </c>
      <c r="X95" s="3">
        <f t="shared" si="18"/>
        <v>0.105795623235115</v>
      </c>
      <c r="Y95" s="3">
        <f t="shared" si="18"/>
        <v>0.102451505528898</v>
      </c>
      <c r="Z95" s="3">
        <f t="shared" si="18"/>
        <v>0.0992099684246108</v>
      </c>
      <c r="AA95" s="3">
        <f t="shared" si="18"/>
        <v>0.0956939581381091</v>
      </c>
      <c r="AB95" s="3">
        <f t="shared" si="18"/>
        <v>0.0922478249471089</v>
      </c>
      <c r="AC95" s="3">
        <f t="shared" si="18"/>
        <v>0.0888695062443874</v>
      </c>
      <c r="AD95" s="3">
        <f t="shared" si="18"/>
        <v>0.0855570198095193</v>
      </c>
      <c r="AE95" s="3">
        <f t="shared" si="18"/>
        <v>0.0823084599304834</v>
      </c>
      <c r="AF95" s="3">
        <f t="shared" si="18"/>
        <v>0.0809517743343421</v>
      </c>
      <c r="AG95" s="3">
        <f t="shared" si="18"/>
        <v>0.0796160857560894</v>
      </c>
      <c r="AH95" s="3">
        <f t="shared" si="17"/>
        <v>0.0783009104919302</v>
      </c>
      <c r="AI95" s="3">
        <f t="shared" si="17"/>
        <v>0.0770057795821577</v>
      </c>
      <c r="AJ95" s="3">
        <f t="shared" si="17"/>
        <v>0.0757302382536226</v>
      </c>
    </row>
    <row r="96" spans="1:36">
      <c r="A96" t="str">
        <f>"recycling_archetype_"&amp;TEXT(ROUND(Table26[[#This Row],[2016]],3),"0.000")</f>
        <v>recycling_archetype_0.145</v>
      </c>
      <c r="B96" s="3">
        <f t="shared" si="13"/>
        <v>0.145</v>
      </c>
      <c r="C96" s="3">
        <f t="shared" si="19"/>
        <v>0.145</v>
      </c>
      <c r="D96" s="3">
        <f t="shared" si="19"/>
        <v>0.145</v>
      </c>
      <c r="E96" s="3">
        <f t="shared" si="19"/>
        <v>0.143144330491289</v>
      </c>
      <c r="F96" s="3">
        <f t="shared" si="19"/>
        <v>0.141376851575151</v>
      </c>
      <c r="G96" s="3">
        <f t="shared" si="19"/>
        <v>0.139691422296191</v>
      </c>
      <c r="H96" s="3">
        <f t="shared" si="19"/>
        <v>0.138082458914522</v>
      </c>
      <c r="I96" s="3">
        <f t="shared" si="19"/>
        <v>0.136544873107135</v>
      </c>
      <c r="J96" s="3">
        <f t="shared" si="19"/>
        <v>0.135074018215415</v>
      </c>
      <c r="K96" s="3">
        <f t="shared" si="19"/>
        <v>0.133665642342564</v>
      </c>
      <c r="L96" s="3">
        <f t="shared" si="19"/>
        <v>0.132315847303689</v>
      </c>
      <c r="M96" s="3">
        <f t="shared" si="19"/>
        <v>0.131021052593914</v>
      </c>
      <c r="N96" s="3">
        <f t="shared" si="19"/>
        <v>0.12977796367312</v>
      </c>
      <c r="O96" s="3">
        <f t="shared" si="19"/>
        <v>0.128583543975832</v>
      </c>
      <c r="P96" s="3">
        <f t="shared" si="19"/>
        <v>0.127434990145567</v>
      </c>
      <c r="Q96" s="3">
        <f t="shared" si="19"/>
        <v>0.12452958030594</v>
      </c>
      <c r="R96" s="3">
        <f t="shared" si="19"/>
        <v>0.121712229386133</v>
      </c>
      <c r="S96" s="3">
        <f t="shared" si="18"/>
        <v>0.118978993734878</v>
      </c>
      <c r="T96" s="3">
        <f t="shared" si="18"/>
        <v>0.116326161721812</v>
      </c>
      <c r="U96" s="3">
        <f t="shared" si="18"/>
        <v>0.113750236921415</v>
      </c>
      <c r="V96" s="3">
        <f t="shared" si="18"/>
        <v>0.110315309684065</v>
      </c>
      <c r="W96" s="3">
        <f t="shared" si="18"/>
        <v>0.106990830611172</v>
      </c>
      <c r="X96" s="3">
        <f t="shared" si="18"/>
        <v>0.103771556894081</v>
      </c>
      <c r="Y96" s="3">
        <f t="shared" si="18"/>
        <v>0.100652572379865</v>
      </c>
      <c r="Z96" s="3">
        <f t="shared" si="18"/>
        <v>0.097629262520964</v>
      </c>
      <c r="AA96" s="3">
        <f t="shared" si="18"/>
        <v>0.0943499576044424</v>
      </c>
      <c r="AB96" s="3">
        <f t="shared" si="18"/>
        <v>0.0911358255071557</v>
      </c>
      <c r="AC96" s="3">
        <f t="shared" si="18"/>
        <v>0.0879849424810328</v>
      </c>
      <c r="AD96" s="3">
        <f t="shared" si="18"/>
        <v>0.0848954597529882</v>
      </c>
      <c r="AE96" s="3">
        <f t="shared" si="18"/>
        <v>0.0818655999076301</v>
      </c>
      <c r="AF96" s="3">
        <f t="shared" si="18"/>
        <v>0.0806002493019507</v>
      </c>
      <c r="AG96" s="3">
        <f t="shared" si="18"/>
        <v>0.0793544821497835</v>
      </c>
      <c r="AH96" s="3">
        <f t="shared" si="17"/>
        <v>0.0781278473113126</v>
      </c>
      <c r="AI96" s="3">
        <f t="shared" si="17"/>
        <v>0.0769199073982068</v>
      </c>
      <c r="AJ96" s="3">
        <f t="shared" si="17"/>
        <v>0.0757302382536226</v>
      </c>
    </row>
    <row r="97" spans="1:36">
      <c r="A97" t="str">
        <f>"recycling_archetype_"&amp;TEXT(ROUND(Table26[[#This Row],[2016]],3),"0.000")</f>
        <v>recycling_archetype_0.140</v>
      </c>
      <c r="B97" s="3">
        <f t="shared" si="13"/>
        <v>0.14</v>
      </c>
      <c r="C97" s="3">
        <f t="shared" si="19"/>
        <v>0.14</v>
      </c>
      <c r="D97" s="3">
        <f t="shared" si="19"/>
        <v>0.14</v>
      </c>
      <c r="E97" s="3">
        <f t="shared" si="19"/>
        <v>0.138278275625639</v>
      </c>
      <c r="F97" s="3">
        <f t="shared" si="19"/>
        <v>0.13663837610862</v>
      </c>
      <c r="G97" s="3">
        <f t="shared" si="19"/>
        <v>0.135074603757335</v>
      </c>
      <c r="H97" s="3">
        <f t="shared" si="19"/>
        <v>0.133581777874995</v>
      </c>
      <c r="I97" s="3">
        <f t="shared" si="19"/>
        <v>0.132155177421723</v>
      </c>
      <c r="J97" s="3">
        <f t="shared" si="19"/>
        <v>0.13079049114201</v>
      </c>
      <c r="K97" s="3">
        <f t="shared" si="19"/>
        <v>0.129483774047631</v>
      </c>
      <c r="L97" s="3">
        <f t="shared" si="19"/>
        <v>0.128231409330794</v>
      </c>
      <c r="M97" s="3">
        <f t="shared" si="19"/>
        <v>0.127030074933075</v>
      </c>
      <c r="N97" s="3">
        <f t="shared" si="19"/>
        <v>0.125876714119427</v>
      </c>
      <c r="O97" s="3">
        <f t="shared" si="19"/>
        <v>0.124768509508432</v>
      </c>
      <c r="P97" s="3">
        <f t="shared" si="19"/>
        <v>0.123702860094272</v>
      </c>
      <c r="Q97" s="3">
        <f t="shared" si="19"/>
        <v>0.121007167291803</v>
      </c>
      <c r="R97" s="3">
        <f t="shared" si="19"/>
        <v>0.118393177178269</v>
      </c>
      <c r="S97" s="3">
        <f t="shared" si="18"/>
        <v>0.115857230761331</v>
      </c>
      <c r="T97" s="3">
        <f t="shared" si="18"/>
        <v>0.113395884321925</v>
      </c>
      <c r="U97" s="3">
        <f t="shared" si="18"/>
        <v>0.111005893812007</v>
      </c>
      <c r="V97" s="3">
        <f t="shared" si="18"/>
        <v>0.107818905007731</v>
      </c>
      <c r="W97" s="3">
        <f t="shared" si="18"/>
        <v>0.104734392046247</v>
      </c>
      <c r="X97" s="3">
        <f t="shared" si="18"/>
        <v>0.101747490553047</v>
      </c>
      <c r="Y97" s="3">
        <f t="shared" si="18"/>
        <v>0.0988536392308313</v>
      </c>
      <c r="Z97" s="3">
        <f t="shared" si="18"/>
        <v>0.0960485566173171</v>
      </c>
      <c r="AA97" s="3">
        <f t="shared" si="18"/>
        <v>0.0930059570707756</v>
      </c>
      <c r="AB97" s="3">
        <f t="shared" si="18"/>
        <v>0.0900238260672025</v>
      </c>
      <c r="AC97" s="3">
        <f t="shared" si="18"/>
        <v>0.0871003787176782</v>
      </c>
      <c r="AD97" s="3">
        <f t="shared" si="18"/>
        <v>0.0842338996964572</v>
      </c>
      <c r="AE97" s="3">
        <f t="shared" si="18"/>
        <v>0.0814227398847769</v>
      </c>
      <c r="AF97" s="3">
        <f t="shared" si="18"/>
        <v>0.0802487242695593</v>
      </c>
      <c r="AG97" s="3">
        <f t="shared" si="18"/>
        <v>0.0790928785434776</v>
      </c>
      <c r="AH97" s="3">
        <f t="shared" si="17"/>
        <v>0.077954784130695</v>
      </c>
      <c r="AI97" s="3">
        <f t="shared" si="17"/>
        <v>0.0768340352142559</v>
      </c>
      <c r="AJ97" s="3">
        <f t="shared" si="17"/>
        <v>0.0757302382536226</v>
      </c>
    </row>
    <row r="98" spans="1:36">
      <c r="A98" t="str">
        <f>"recycling_archetype_"&amp;TEXT(ROUND(Table26[[#This Row],[2016]],3),"0.000")</f>
        <v>recycling_archetype_0.135</v>
      </c>
      <c r="B98" s="3">
        <f t="shared" si="13"/>
        <v>0.135</v>
      </c>
      <c r="C98" s="3">
        <f t="shared" si="19"/>
        <v>0.135</v>
      </c>
      <c r="D98" s="3">
        <f t="shared" si="19"/>
        <v>0.135</v>
      </c>
      <c r="E98" s="3">
        <f t="shared" si="19"/>
        <v>0.13341222075999</v>
      </c>
      <c r="F98" s="3">
        <f t="shared" si="19"/>
        <v>0.131899900642089</v>
      </c>
      <c r="G98" s="3">
        <f t="shared" si="19"/>
        <v>0.130457785218479</v>
      </c>
      <c r="H98" s="3">
        <f t="shared" si="19"/>
        <v>0.129081096835468</v>
      </c>
      <c r="I98" s="3">
        <f t="shared" si="19"/>
        <v>0.127765481736312</v>
      </c>
      <c r="J98" s="3">
        <f t="shared" si="19"/>
        <v>0.126506964068604</v>
      </c>
      <c r="K98" s="3">
        <f t="shared" si="19"/>
        <v>0.125301905752699</v>
      </c>
      <c r="L98" s="3">
        <f t="shared" si="19"/>
        <v>0.124146971357898</v>
      </c>
      <c r="M98" s="3">
        <f t="shared" si="19"/>
        <v>0.123039097272235</v>
      </c>
      <c r="N98" s="3">
        <f t="shared" si="19"/>
        <v>0.121975464565734</v>
      </c>
      <c r="O98" s="3">
        <f t="shared" si="19"/>
        <v>0.120953475041031</v>
      </c>
      <c r="P98" s="3">
        <f t="shared" si="19"/>
        <v>0.119970730042977</v>
      </c>
      <c r="Q98" s="3">
        <f t="shared" si="19"/>
        <v>0.117484754277666</v>
      </c>
      <c r="R98" s="3">
        <f t="shared" si="19"/>
        <v>0.115074124970405</v>
      </c>
      <c r="S98" s="3">
        <f t="shared" si="18"/>
        <v>0.112735467787784</v>
      </c>
      <c r="T98" s="3">
        <f t="shared" si="18"/>
        <v>0.110465606922038</v>
      </c>
      <c r="U98" s="3">
        <f t="shared" si="18"/>
        <v>0.1082615507026</v>
      </c>
      <c r="V98" s="3">
        <f t="shared" si="18"/>
        <v>0.105322500331397</v>
      </c>
      <c r="W98" s="3">
        <f t="shared" si="18"/>
        <v>0.102477953481321</v>
      </c>
      <c r="X98" s="3">
        <f t="shared" si="18"/>
        <v>0.0997234242120132</v>
      </c>
      <c r="Y98" s="3">
        <f t="shared" si="18"/>
        <v>0.0970547060817978</v>
      </c>
      <c r="Z98" s="3">
        <f t="shared" si="18"/>
        <v>0.0944678507136703</v>
      </c>
      <c r="AA98" s="3">
        <f t="shared" si="18"/>
        <v>0.0916619565371089</v>
      </c>
      <c r="AB98" s="3">
        <f t="shared" si="18"/>
        <v>0.0889118266272492</v>
      </c>
      <c r="AC98" s="3">
        <f t="shared" si="18"/>
        <v>0.0862158149543236</v>
      </c>
      <c r="AD98" s="3">
        <f t="shared" si="18"/>
        <v>0.0835723396399261</v>
      </c>
      <c r="AE98" s="3">
        <f t="shared" si="18"/>
        <v>0.0809798798619237</v>
      </c>
      <c r="AF98" s="3">
        <f t="shared" si="18"/>
        <v>0.0798971992371679</v>
      </c>
      <c r="AG98" s="3">
        <f t="shared" si="18"/>
        <v>0.0788312749371716</v>
      </c>
      <c r="AH98" s="3">
        <f t="shared" si="17"/>
        <v>0.0777817209500774</v>
      </c>
      <c r="AI98" s="3">
        <f t="shared" si="17"/>
        <v>0.076748163030305</v>
      </c>
      <c r="AJ98" s="3">
        <f t="shared" si="17"/>
        <v>0.0757302382536226</v>
      </c>
    </row>
    <row r="99" spans="1:36">
      <c r="A99" t="str">
        <f>"recycling_archetype_"&amp;TEXT(ROUND(Table26[[#This Row],[2016]],3),"0.000")</f>
        <v>recycling_archetype_0.130</v>
      </c>
      <c r="B99" s="3">
        <f t="shared" si="13"/>
        <v>0.13</v>
      </c>
      <c r="C99" s="3">
        <f t="shared" si="19"/>
        <v>0.13</v>
      </c>
      <c r="D99" s="3">
        <f t="shared" si="19"/>
        <v>0.13</v>
      </c>
      <c r="E99" s="3">
        <f t="shared" si="19"/>
        <v>0.128546165894341</v>
      </c>
      <c r="F99" s="3">
        <f t="shared" si="19"/>
        <v>0.127161425175558</v>
      </c>
      <c r="G99" s="3">
        <f t="shared" si="19"/>
        <v>0.125840966679622</v>
      </c>
      <c r="H99" s="3">
        <f t="shared" si="19"/>
        <v>0.12458041579594</v>
      </c>
      <c r="I99" s="3">
        <f t="shared" si="19"/>
        <v>0.1233757860509</v>
      </c>
      <c r="J99" s="3">
        <f t="shared" si="19"/>
        <v>0.122223436995199</v>
      </c>
      <c r="K99" s="3">
        <f t="shared" si="19"/>
        <v>0.121120037457766</v>
      </c>
      <c r="L99" s="3">
        <f t="shared" si="19"/>
        <v>0.120062533385003</v>
      </c>
      <c r="M99" s="3">
        <f t="shared" si="19"/>
        <v>0.119048119611396</v>
      </c>
      <c r="N99" s="3">
        <f t="shared" si="19"/>
        <v>0.118074215012041</v>
      </c>
      <c r="O99" s="3">
        <f t="shared" si="19"/>
        <v>0.117138440573631</v>
      </c>
      <c r="P99" s="3">
        <f t="shared" si="19"/>
        <v>0.116238599991681</v>
      </c>
      <c r="Q99" s="3">
        <f t="shared" si="19"/>
        <v>0.11396234126353</v>
      </c>
      <c r="R99" s="3">
        <f t="shared" si="19"/>
        <v>0.11175507276254</v>
      </c>
      <c r="S99" s="3">
        <f t="shared" si="18"/>
        <v>0.109613704814236</v>
      </c>
      <c r="T99" s="3">
        <f t="shared" si="18"/>
        <v>0.107535329522152</v>
      </c>
      <c r="U99" s="3">
        <f t="shared" si="18"/>
        <v>0.105517207593193</v>
      </c>
      <c r="V99" s="3">
        <f t="shared" si="18"/>
        <v>0.102826095655062</v>
      </c>
      <c r="W99" s="3">
        <f t="shared" si="18"/>
        <v>0.100221514916395</v>
      </c>
      <c r="X99" s="3">
        <f t="shared" si="18"/>
        <v>0.0976993578709791</v>
      </c>
      <c r="Y99" s="3">
        <f t="shared" si="18"/>
        <v>0.0952557729327643</v>
      </c>
      <c r="Z99" s="3">
        <f t="shared" si="18"/>
        <v>0.0928871448100235</v>
      </c>
      <c r="AA99" s="3">
        <f t="shared" si="18"/>
        <v>0.0903179560034422</v>
      </c>
      <c r="AB99" s="3">
        <f t="shared" si="18"/>
        <v>0.087799827187296</v>
      </c>
      <c r="AC99" s="3">
        <f t="shared" si="18"/>
        <v>0.085331251190969</v>
      </c>
      <c r="AD99" s="3">
        <f t="shared" si="18"/>
        <v>0.082910779583395</v>
      </c>
      <c r="AE99" s="3">
        <f t="shared" si="18"/>
        <v>0.0805370198390705</v>
      </c>
      <c r="AF99" s="3">
        <f t="shared" si="18"/>
        <v>0.0795456742047765</v>
      </c>
      <c r="AG99" s="3">
        <f t="shared" si="18"/>
        <v>0.0785696713308657</v>
      </c>
      <c r="AH99" s="3">
        <f t="shared" si="17"/>
        <v>0.0776086577694598</v>
      </c>
      <c r="AI99" s="3">
        <f t="shared" si="17"/>
        <v>0.0766622908463541</v>
      </c>
      <c r="AJ99" s="3">
        <f t="shared" si="17"/>
        <v>0.0757302382536226</v>
      </c>
    </row>
    <row r="100" spans="1:36">
      <c r="A100" t="str">
        <f>"recycling_archetype_"&amp;TEXT(ROUND(Table26[[#This Row],[2016]],3),"0.000")</f>
        <v>recycling_archetype_0.125</v>
      </c>
      <c r="B100" s="3">
        <f t="shared" si="13"/>
        <v>0.125</v>
      </c>
      <c r="C100" s="3">
        <f t="shared" si="19"/>
        <v>0.125</v>
      </c>
      <c r="D100" s="3">
        <f t="shared" si="19"/>
        <v>0.125</v>
      </c>
      <c r="E100" s="3">
        <f t="shared" si="19"/>
        <v>0.123680111028691</v>
      </c>
      <c r="F100" s="3">
        <f t="shared" si="19"/>
        <v>0.122422949709028</v>
      </c>
      <c r="G100" s="3">
        <f t="shared" si="19"/>
        <v>0.121224148140766</v>
      </c>
      <c r="H100" s="3">
        <f t="shared" si="19"/>
        <v>0.120079734756413</v>
      </c>
      <c r="I100" s="3">
        <f t="shared" si="19"/>
        <v>0.118986090365488</v>
      </c>
      <c r="J100" s="3">
        <f t="shared" si="19"/>
        <v>0.117939909921793</v>
      </c>
      <c r="K100" s="3">
        <f t="shared" si="19"/>
        <v>0.116938169162834</v>
      </c>
      <c r="L100" s="3">
        <f t="shared" si="19"/>
        <v>0.115978095412107</v>
      </c>
      <c r="M100" s="3">
        <f t="shared" si="19"/>
        <v>0.115057141950557</v>
      </c>
      <c r="N100" s="3">
        <f t="shared" si="19"/>
        <v>0.114172965458348</v>
      </c>
      <c r="O100" s="3">
        <f t="shared" si="19"/>
        <v>0.11332340610623</v>
      </c>
      <c r="P100" s="3">
        <f t="shared" si="19"/>
        <v>0.112506469940386</v>
      </c>
      <c r="Q100" s="3">
        <f t="shared" si="19"/>
        <v>0.110439928249393</v>
      </c>
      <c r="R100" s="3">
        <f t="shared" si="19"/>
        <v>0.108436020554676</v>
      </c>
      <c r="S100" s="3">
        <f t="shared" si="18"/>
        <v>0.106491941840689</v>
      </c>
      <c r="T100" s="3">
        <f t="shared" si="18"/>
        <v>0.104605052122265</v>
      </c>
      <c r="U100" s="3">
        <f t="shared" si="18"/>
        <v>0.102772864483785</v>
      </c>
      <c r="V100" s="3">
        <f t="shared" si="18"/>
        <v>0.100329690978728</v>
      </c>
      <c r="W100" s="3">
        <f t="shared" si="18"/>
        <v>0.0979650763514692</v>
      </c>
      <c r="X100" s="3">
        <f t="shared" si="18"/>
        <v>0.095675291529945</v>
      </c>
      <c r="Y100" s="3">
        <f t="shared" si="18"/>
        <v>0.0934568397837308</v>
      </c>
      <c r="Z100" s="3">
        <f t="shared" si="18"/>
        <v>0.0913064389063767</v>
      </c>
      <c r="AA100" s="3">
        <f t="shared" si="18"/>
        <v>0.0889739554697754</v>
      </c>
      <c r="AB100" s="3">
        <f t="shared" si="18"/>
        <v>0.0866878277473428</v>
      </c>
      <c r="AC100" s="3">
        <f t="shared" si="18"/>
        <v>0.0844466874276145</v>
      </c>
      <c r="AD100" s="3">
        <f t="shared" si="18"/>
        <v>0.0822492195268639</v>
      </c>
      <c r="AE100" s="3">
        <f t="shared" si="18"/>
        <v>0.0800941598162173</v>
      </c>
      <c r="AF100" s="3">
        <f t="shared" si="18"/>
        <v>0.0791941491723851</v>
      </c>
      <c r="AG100" s="3">
        <f t="shared" si="18"/>
        <v>0.0783080677245598</v>
      </c>
      <c r="AH100" s="3">
        <f t="shared" si="17"/>
        <v>0.0774355945888423</v>
      </c>
      <c r="AI100" s="3">
        <f t="shared" si="17"/>
        <v>0.0765764186624032</v>
      </c>
      <c r="AJ100" s="3">
        <f t="shared" si="17"/>
        <v>0.0757302382536226</v>
      </c>
    </row>
    <row r="101" spans="1:36">
      <c r="A101" t="str">
        <f>"recycling_archetype_"&amp;TEXT(ROUND(Table26[[#This Row],[2016]],3),"0.000")</f>
        <v>recycling_archetype_0.120</v>
      </c>
      <c r="B101" s="3">
        <f t="shared" si="13"/>
        <v>0.12</v>
      </c>
      <c r="C101" s="3">
        <f t="shared" si="19"/>
        <v>0.12</v>
      </c>
      <c r="D101" s="3">
        <f t="shared" si="19"/>
        <v>0.12</v>
      </c>
      <c r="E101" s="3">
        <f t="shared" si="19"/>
        <v>0.118814056163042</v>
      </c>
      <c r="F101" s="3">
        <f t="shared" si="19"/>
        <v>0.117684474242497</v>
      </c>
      <c r="G101" s="3">
        <f t="shared" si="19"/>
        <v>0.116607329601909</v>
      </c>
      <c r="H101" s="3">
        <f t="shared" si="19"/>
        <v>0.115579053716886</v>
      </c>
      <c r="I101" s="3">
        <f t="shared" si="19"/>
        <v>0.114596394680077</v>
      </c>
      <c r="J101" s="3">
        <f t="shared" si="19"/>
        <v>0.113656382848387</v>
      </c>
      <c r="K101" s="3">
        <f t="shared" si="19"/>
        <v>0.112756300867901</v>
      </c>
      <c r="L101" s="3">
        <f t="shared" si="19"/>
        <v>0.111893657439211</v>
      </c>
      <c r="M101" s="3">
        <f t="shared" si="19"/>
        <v>0.111066164289717</v>
      </c>
      <c r="N101" s="3">
        <f t="shared" si="19"/>
        <v>0.110271715904654</v>
      </c>
      <c r="O101" s="3">
        <f t="shared" si="19"/>
        <v>0.10950837163883</v>
      </c>
      <c r="P101" s="3">
        <f t="shared" si="19"/>
        <v>0.108774339889091</v>
      </c>
      <c r="Q101" s="3">
        <f t="shared" si="19"/>
        <v>0.106917515235256</v>
      </c>
      <c r="R101" s="3">
        <f t="shared" si="19"/>
        <v>0.105116968346812</v>
      </c>
      <c r="S101" s="3">
        <f t="shared" si="18"/>
        <v>0.103370178867142</v>
      </c>
      <c r="T101" s="3">
        <f t="shared" si="18"/>
        <v>0.101674774722378</v>
      </c>
      <c r="U101" s="3">
        <f t="shared" si="18"/>
        <v>0.100028521374378</v>
      </c>
      <c r="V101" s="3">
        <f t="shared" si="18"/>
        <v>0.097833286302394</v>
      </c>
      <c r="W101" s="3">
        <f t="shared" si="18"/>
        <v>0.0957086377865433</v>
      </c>
      <c r="X101" s="3">
        <f t="shared" si="18"/>
        <v>0.0936512251889109</v>
      </c>
      <c r="Y101" s="3">
        <f t="shared" si="18"/>
        <v>0.0916579066346973</v>
      </c>
      <c r="Z101" s="3">
        <f t="shared" si="18"/>
        <v>0.0897257330027299</v>
      </c>
      <c r="AA101" s="3">
        <f t="shared" si="18"/>
        <v>0.0876299549361087</v>
      </c>
      <c r="AB101" s="3">
        <f t="shared" si="18"/>
        <v>0.0855758283073895</v>
      </c>
      <c r="AC101" s="3">
        <f t="shared" si="18"/>
        <v>0.0835621236642599</v>
      </c>
      <c r="AD101" s="3">
        <f t="shared" si="18"/>
        <v>0.0815876594703328</v>
      </c>
      <c r="AE101" s="3">
        <f t="shared" si="18"/>
        <v>0.0796512997933641</v>
      </c>
      <c r="AF101" s="3">
        <f t="shared" si="18"/>
        <v>0.0788426241399936</v>
      </c>
      <c r="AG101" s="3">
        <f t="shared" si="18"/>
        <v>0.0780464641182539</v>
      </c>
      <c r="AH101" s="3">
        <f t="shared" si="17"/>
        <v>0.0772625314082247</v>
      </c>
      <c r="AI101" s="3">
        <f t="shared" si="17"/>
        <v>0.0764905464784522</v>
      </c>
      <c r="AJ101" s="3">
        <f t="shared" si="17"/>
        <v>0.0757302382536226</v>
      </c>
    </row>
    <row r="102" spans="1:36">
      <c r="A102" t="str">
        <f>"recycling_archetype_"&amp;TEXT(ROUND(Table26[[#This Row],[2016]],3),"0.000")</f>
        <v>recycling_archetype_0.115</v>
      </c>
      <c r="B102" s="3">
        <f t="shared" si="13"/>
        <v>0.115</v>
      </c>
      <c r="C102" s="3">
        <f t="shared" si="19"/>
        <v>0.115</v>
      </c>
      <c r="D102" s="3">
        <f t="shared" si="19"/>
        <v>0.115</v>
      </c>
      <c r="E102" s="3">
        <f t="shared" si="19"/>
        <v>0.113948001297393</v>
      </c>
      <c r="F102" s="3">
        <f t="shared" si="19"/>
        <v>0.112945998775966</v>
      </c>
      <c r="G102" s="3">
        <f t="shared" si="19"/>
        <v>0.111990511063053</v>
      </c>
      <c r="H102" s="3">
        <f t="shared" si="19"/>
        <v>0.111078372677358</v>
      </c>
      <c r="I102" s="3">
        <f t="shared" si="19"/>
        <v>0.110206698994665</v>
      </c>
      <c r="J102" s="3">
        <f t="shared" si="19"/>
        <v>0.109372855774982</v>
      </c>
      <c r="K102" s="3">
        <f t="shared" si="19"/>
        <v>0.108574432572969</v>
      </c>
      <c r="L102" s="3">
        <f t="shared" si="19"/>
        <v>0.107809219466316</v>
      </c>
      <c r="M102" s="3">
        <f t="shared" si="19"/>
        <v>0.107075186628878</v>
      </c>
      <c r="N102" s="3">
        <f t="shared" si="19"/>
        <v>0.106370466350961</v>
      </c>
      <c r="O102" s="3">
        <f t="shared" si="19"/>
        <v>0.105693337171429</v>
      </c>
      <c r="P102" s="3">
        <f t="shared" si="19"/>
        <v>0.105042209837795</v>
      </c>
      <c r="Q102" s="3">
        <f t="shared" si="19"/>
        <v>0.10339510222112</v>
      </c>
      <c r="R102" s="3">
        <f t="shared" si="19"/>
        <v>0.101797916138947</v>
      </c>
      <c r="S102" s="3">
        <f t="shared" si="18"/>
        <v>0.100248415893595</v>
      </c>
      <c r="T102" s="3">
        <f t="shared" si="18"/>
        <v>0.0987444973224916</v>
      </c>
      <c r="U102" s="3">
        <f t="shared" si="18"/>
        <v>0.0972841782649705</v>
      </c>
      <c r="V102" s="3">
        <f t="shared" si="18"/>
        <v>0.0953368816260598</v>
      </c>
      <c r="W102" s="3">
        <f t="shared" si="18"/>
        <v>0.0934521992216175</v>
      </c>
      <c r="X102" s="3">
        <f t="shared" si="18"/>
        <v>0.0916271588478768</v>
      </c>
      <c r="Y102" s="3">
        <f t="shared" si="18"/>
        <v>0.0898589734856638</v>
      </c>
      <c r="Z102" s="3">
        <f t="shared" si="18"/>
        <v>0.0881450270990831</v>
      </c>
      <c r="AA102" s="3">
        <f t="shared" si="18"/>
        <v>0.086285954402442</v>
      </c>
      <c r="AB102" s="3">
        <f t="shared" si="18"/>
        <v>0.0844638288674363</v>
      </c>
      <c r="AC102" s="3">
        <f t="shared" si="18"/>
        <v>0.0826775599009053</v>
      </c>
      <c r="AD102" s="3">
        <f t="shared" si="18"/>
        <v>0.0809260994138017</v>
      </c>
      <c r="AE102" s="3">
        <f t="shared" si="18"/>
        <v>0.0792084397705108</v>
      </c>
      <c r="AF102" s="3">
        <f t="shared" si="18"/>
        <v>0.0784910991076022</v>
      </c>
      <c r="AG102" s="3">
        <f t="shared" si="18"/>
        <v>0.0777848605119479</v>
      </c>
      <c r="AH102" s="3">
        <f t="shared" si="17"/>
        <v>0.0770894682276071</v>
      </c>
      <c r="AI102" s="3">
        <f t="shared" si="17"/>
        <v>0.0764046742945013</v>
      </c>
      <c r="AJ102" s="3">
        <f t="shared" si="17"/>
        <v>0.0757302382536226</v>
      </c>
    </row>
    <row r="103" spans="1:36">
      <c r="A103" t="str">
        <f>"recycling_archetype_"&amp;TEXT(ROUND(Table26[[#This Row],[2016]],3),"0.000")</f>
        <v>recycling_archetype_0.110</v>
      </c>
      <c r="B103" s="3">
        <f t="shared" si="13"/>
        <v>0.11</v>
      </c>
      <c r="C103" s="3">
        <f t="shared" si="19"/>
        <v>0.11</v>
      </c>
      <c r="D103" s="3">
        <f t="shared" si="19"/>
        <v>0.11</v>
      </c>
      <c r="E103" s="3">
        <f t="shared" si="19"/>
        <v>0.109081946431743</v>
      </c>
      <c r="F103" s="3">
        <f t="shared" si="19"/>
        <v>0.108207523309435</v>
      </c>
      <c r="G103" s="3">
        <f t="shared" si="19"/>
        <v>0.107373692524196</v>
      </c>
      <c r="H103" s="3">
        <f t="shared" si="19"/>
        <v>0.106577691637831</v>
      </c>
      <c r="I103" s="3">
        <f t="shared" si="19"/>
        <v>0.105817003309254</v>
      </c>
      <c r="J103" s="3">
        <f t="shared" si="19"/>
        <v>0.105089328701576</v>
      </c>
      <c r="K103" s="3">
        <f t="shared" si="19"/>
        <v>0.104392564278036</v>
      </c>
      <c r="L103" s="3">
        <f t="shared" si="19"/>
        <v>0.10372478149342</v>
      </c>
      <c r="M103" s="3">
        <f t="shared" si="19"/>
        <v>0.103084208968039</v>
      </c>
      <c r="N103" s="3">
        <f t="shared" si="19"/>
        <v>0.102469216797268</v>
      </c>
      <c r="O103" s="3">
        <f t="shared" si="19"/>
        <v>0.101878302704029</v>
      </c>
      <c r="P103" s="3">
        <f t="shared" si="19"/>
        <v>0.1013100797865</v>
      </c>
      <c r="Q103" s="3">
        <f t="shared" si="19"/>
        <v>0.0998726892069831</v>
      </c>
      <c r="R103" s="3">
        <f t="shared" si="19"/>
        <v>0.0984788639310827</v>
      </c>
      <c r="S103" s="3">
        <f t="shared" si="18"/>
        <v>0.0971266529200476</v>
      </c>
      <c r="T103" s="3">
        <f t="shared" si="18"/>
        <v>0.0958142199226049</v>
      </c>
      <c r="U103" s="3">
        <f t="shared" si="18"/>
        <v>0.0945398351555631</v>
      </c>
      <c r="V103" s="3">
        <f t="shared" si="18"/>
        <v>0.0928404769497256</v>
      </c>
      <c r="W103" s="3">
        <f t="shared" si="18"/>
        <v>0.0911957606566917</v>
      </c>
      <c r="X103" s="3">
        <f t="shared" si="18"/>
        <v>0.0896030925068427</v>
      </c>
      <c r="Y103" s="3">
        <f t="shared" si="18"/>
        <v>0.0880600403366303</v>
      </c>
      <c r="Z103" s="3">
        <f t="shared" si="18"/>
        <v>0.0865643211954363</v>
      </c>
      <c r="AA103" s="3">
        <f t="shared" si="18"/>
        <v>0.0849419538687752</v>
      </c>
      <c r="AB103" s="3">
        <f t="shared" si="18"/>
        <v>0.0833518294274831</v>
      </c>
      <c r="AC103" s="3">
        <f t="shared" si="18"/>
        <v>0.0817929961375507</v>
      </c>
      <c r="AD103" s="3">
        <f t="shared" si="18"/>
        <v>0.0802645393572707</v>
      </c>
      <c r="AE103" s="3">
        <f t="shared" si="18"/>
        <v>0.0787655797476576</v>
      </c>
      <c r="AF103" s="3">
        <f t="shared" si="18"/>
        <v>0.0781395740752108</v>
      </c>
      <c r="AG103" s="3">
        <f t="shared" si="18"/>
        <v>0.077523256905642</v>
      </c>
      <c r="AH103" s="3">
        <f t="shared" si="17"/>
        <v>0.0769164050469895</v>
      </c>
      <c r="AI103" s="3">
        <f t="shared" si="17"/>
        <v>0.0763188021105504</v>
      </c>
      <c r="AJ103" s="3">
        <f t="shared" si="17"/>
        <v>0.0757302382536226</v>
      </c>
    </row>
    <row r="104" spans="1:36">
      <c r="A104" t="str">
        <f>"recycling_archetype_"&amp;TEXT(ROUND(Table26[[#This Row],[2016]],3),"0.000")</f>
        <v>recycling_archetype_0.105</v>
      </c>
      <c r="B104" s="3">
        <f t="shared" si="13"/>
        <v>0.105</v>
      </c>
      <c r="C104" s="3">
        <f t="shared" si="19"/>
        <v>0.105</v>
      </c>
      <c r="D104" s="3">
        <f t="shared" si="19"/>
        <v>0.105</v>
      </c>
      <c r="E104" s="3">
        <f t="shared" si="19"/>
        <v>0.104215891566094</v>
      </c>
      <c r="F104" s="3">
        <f t="shared" si="19"/>
        <v>0.103469047842905</v>
      </c>
      <c r="G104" s="3">
        <f t="shared" si="19"/>
        <v>0.10275687398534</v>
      </c>
      <c r="H104" s="3">
        <f t="shared" si="19"/>
        <v>0.102077010598303</v>
      </c>
      <c r="I104" s="3">
        <f t="shared" si="19"/>
        <v>0.101427307623842</v>
      </c>
      <c r="J104" s="3">
        <f t="shared" si="19"/>
        <v>0.100805801628171</v>
      </c>
      <c r="K104" s="3">
        <f t="shared" si="19"/>
        <v>0.100210695983104</v>
      </c>
      <c r="L104" s="3">
        <f t="shared" si="19"/>
        <v>0.0996403435205247</v>
      </c>
      <c r="M104" s="3">
        <f t="shared" si="19"/>
        <v>0.0990932313071992</v>
      </c>
      <c r="N104" s="3">
        <f t="shared" si="19"/>
        <v>0.0985679672435748</v>
      </c>
      <c r="O104" s="3">
        <f t="shared" si="19"/>
        <v>0.0980632682366284</v>
      </c>
      <c r="P104" s="3">
        <f t="shared" si="19"/>
        <v>0.0975779497352046</v>
      </c>
      <c r="Q104" s="3">
        <f t="shared" si="19"/>
        <v>0.0963502761928465</v>
      </c>
      <c r="R104" s="3">
        <f t="shared" si="19"/>
        <v>0.0951598117232183</v>
      </c>
      <c r="S104" s="3">
        <f t="shared" si="18"/>
        <v>0.0940048899465004</v>
      </c>
      <c r="T104" s="3">
        <f t="shared" si="18"/>
        <v>0.0928839425227182</v>
      </c>
      <c r="U104" s="3">
        <f t="shared" si="18"/>
        <v>0.0917954920461558</v>
      </c>
      <c r="V104" s="3">
        <f t="shared" si="18"/>
        <v>0.0903440722733914</v>
      </c>
      <c r="W104" s="3">
        <f t="shared" si="18"/>
        <v>0.0889393220917659</v>
      </c>
      <c r="X104" s="3">
        <f t="shared" si="18"/>
        <v>0.0875790261658086</v>
      </c>
      <c r="Y104" s="3">
        <f t="shared" si="18"/>
        <v>0.0862611071875968</v>
      </c>
      <c r="Z104" s="3">
        <f t="shared" si="18"/>
        <v>0.0849836152917895</v>
      </c>
      <c r="AA104" s="3">
        <f t="shared" si="18"/>
        <v>0.0835979533351085</v>
      </c>
      <c r="AB104" s="3">
        <f t="shared" si="18"/>
        <v>0.0822398299875298</v>
      </c>
      <c r="AC104" s="3">
        <f t="shared" si="18"/>
        <v>0.0809084323741961</v>
      </c>
      <c r="AD104" s="3">
        <f t="shared" si="18"/>
        <v>0.0796029793007396</v>
      </c>
      <c r="AE104" s="3">
        <f t="shared" si="18"/>
        <v>0.0783227197248044</v>
      </c>
      <c r="AF104" s="3">
        <f t="shared" si="18"/>
        <v>0.0777880490428194</v>
      </c>
      <c r="AG104" s="3">
        <f t="shared" si="18"/>
        <v>0.0772616532993361</v>
      </c>
      <c r="AH104" s="3">
        <f t="shared" si="17"/>
        <v>0.076743341866372</v>
      </c>
      <c r="AI104" s="3">
        <f t="shared" si="17"/>
        <v>0.0762329299265995</v>
      </c>
      <c r="AJ104" s="3">
        <f t="shared" si="17"/>
        <v>0.0757302382536226</v>
      </c>
    </row>
    <row r="105" spans="1:36">
      <c r="A105" t="str">
        <f>"recycling_archetype_"&amp;TEXT(ROUND(Table26[[#This Row],[2016]],3),"0.000")</f>
        <v>recycling_archetype_0.100</v>
      </c>
      <c r="B105" s="3">
        <f t="shared" si="13"/>
        <v>0.1</v>
      </c>
      <c r="C105" s="3">
        <f t="shared" si="19"/>
        <v>0.1</v>
      </c>
      <c r="D105" s="3">
        <f t="shared" si="19"/>
        <v>0.1</v>
      </c>
      <c r="E105" s="3">
        <f t="shared" si="19"/>
        <v>0.0993498367004447</v>
      </c>
      <c r="F105" s="3">
        <f t="shared" si="19"/>
        <v>0.0987305723763739</v>
      </c>
      <c r="G105" s="3">
        <f t="shared" si="19"/>
        <v>0.0981400554464835</v>
      </c>
      <c r="H105" s="3">
        <f t="shared" si="19"/>
        <v>0.0975763295587761</v>
      </c>
      <c r="I105" s="3">
        <f t="shared" si="19"/>
        <v>0.0970376119384306</v>
      </c>
      <c r="J105" s="3">
        <f t="shared" si="19"/>
        <v>0.0965222745547649</v>
      </c>
      <c r="K105" s="3">
        <f t="shared" si="19"/>
        <v>0.096028827688171</v>
      </c>
      <c r="L105" s="3">
        <f t="shared" si="19"/>
        <v>0.0955559055476291</v>
      </c>
      <c r="M105" s="3">
        <f t="shared" si="19"/>
        <v>0.0951022536463598</v>
      </c>
      <c r="N105" s="3">
        <f t="shared" si="19"/>
        <v>0.0946667176898816</v>
      </c>
      <c r="O105" s="3">
        <f t="shared" si="19"/>
        <v>0.094248233769228</v>
      </c>
      <c r="P105" s="3">
        <f t="shared" si="19"/>
        <v>0.0938458196839092</v>
      </c>
      <c r="Q105" s="3">
        <f t="shared" si="19"/>
        <v>0.0928278631787098</v>
      </c>
      <c r="R105" s="3">
        <f t="shared" si="19"/>
        <v>0.0918407595153539</v>
      </c>
      <c r="S105" s="3">
        <f t="shared" si="18"/>
        <v>0.0908831269729532</v>
      </c>
      <c r="T105" s="3">
        <f t="shared" si="18"/>
        <v>0.0899536651228315</v>
      </c>
      <c r="U105" s="3">
        <f t="shared" si="18"/>
        <v>0.0890511489367484</v>
      </c>
      <c r="V105" s="3">
        <f t="shared" si="18"/>
        <v>0.0878476675970572</v>
      </c>
      <c r="W105" s="3">
        <f t="shared" si="18"/>
        <v>0.0866828835268401</v>
      </c>
      <c r="X105" s="3">
        <f t="shared" si="18"/>
        <v>0.0855549598247745</v>
      </c>
      <c r="Y105" s="3">
        <f t="shared" si="18"/>
        <v>0.0844621740385633</v>
      </c>
      <c r="Z105" s="3">
        <f t="shared" si="18"/>
        <v>0.0834029093881427</v>
      </c>
      <c r="AA105" s="3">
        <f t="shared" si="18"/>
        <v>0.0822539528014418</v>
      </c>
      <c r="AB105" s="3">
        <f t="shared" si="18"/>
        <v>0.0811278305475766</v>
      </c>
      <c r="AC105" s="3">
        <f t="shared" si="18"/>
        <v>0.0800238686108415</v>
      </c>
      <c r="AD105" s="3">
        <f t="shared" si="18"/>
        <v>0.0789414192442085</v>
      </c>
      <c r="AE105" s="3">
        <f t="shared" si="18"/>
        <v>0.0778798597019512</v>
      </c>
      <c r="AF105" s="3">
        <f t="shared" si="18"/>
        <v>0.077436524010428</v>
      </c>
      <c r="AG105" s="3">
        <f t="shared" si="18"/>
        <v>0.0770000496930302</v>
      </c>
      <c r="AH105" s="3">
        <f t="shared" si="17"/>
        <v>0.0765702786857544</v>
      </c>
      <c r="AI105" s="3">
        <f t="shared" si="17"/>
        <v>0.0761470577426486</v>
      </c>
      <c r="AJ105" s="3">
        <f t="shared" si="17"/>
        <v>0.0757302382536226</v>
      </c>
    </row>
    <row r="106" spans="1:36">
      <c r="A106" t="str">
        <f>"recycling_archetype_"&amp;TEXT(ROUND(Table26[[#This Row],[2016]],3),"0.000")</f>
        <v>recycling_archetype_0.095</v>
      </c>
      <c r="B106" s="3">
        <f t="shared" si="13"/>
        <v>0.095</v>
      </c>
      <c r="C106" s="3">
        <f t="shared" si="19"/>
        <v>0.095</v>
      </c>
      <c r="D106" s="3">
        <f t="shared" si="19"/>
        <v>0.095</v>
      </c>
      <c r="E106" s="3">
        <f t="shared" si="19"/>
        <v>0.0944837818347953</v>
      </c>
      <c r="F106" s="3">
        <f t="shared" si="19"/>
        <v>0.0939920969098431</v>
      </c>
      <c r="G106" s="3">
        <f t="shared" si="19"/>
        <v>0.093523236907627</v>
      </c>
      <c r="H106" s="3">
        <f t="shared" si="19"/>
        <v>0.0930756485192487</v>
      </c>
      <c r="I106" s="3">
        <f t="shared" si="19"/>
        <v>0.092647916253019</v>
      </c>
      <c r="J106" s="3">
        <f t="shared" si="19"/>
        <v>0.0922387474813593</v>
      </c>
      <c r="K106" s="3">
        <f t="shared" si="19"/>
        <v>0.0918469593932384</v>
      </c>
      <c r="L106" s="3">
        <f t="shared" si="19"/>
        <v>0.0914714675747335</v>
      </c>
      <c r="M106" s="3">
        <f t="shared" si="19"/>
        <v>0.0911112759855205</v>
      </c>
      <c r="N106" s="3">
        <f t="shared" si="19"/>
        <v>0.0907654681361884</v>
      </c>
      <c r="O106" s="3">
        <f t="shared" si="19"/>
        <v>0.0904331993018275</v>
      </c>
      <c r="P106" s="3">
        <f t="shared" si="19"/>
        <v>0.0901136896326139</v>
      </c>
      <c r="Q106" s="3">
        <f t="shared" si="19"/>
        <v>0.0893054501645731</v>
      </c>
      <c r="R106" s="3">
        <f t="shared" si="19"/>
        <v>0.0885217073074896</v>
      </c>
      <c r="S106" s="3">
        <f t="shared" si="18"/>
        <v>0.087761363999406</v>
      </c>
      <c r="T106" s="3">
        <f t="shared" si="18"/>
        <v>0.0870233877229448</v>
      </c>
      <c r="U106" s="3">
        <f t="shared" si="18"/>
        <v>0.086306805827341</v>
      </c>
      <c r="V106" s="3">
        <f t="shared" si="18"/>
        <v>0.0853512629207231</v>
      </c>
      <c r="W106" s="3">
        <f t="shared" si="18"/>
        <v>0.0844264449619143</v>
      </c>
      <c r="X106" s="3">
        <f t="shared" si="18"/>
        <v>0.0835308934837404</v>
      </c>
      <c r="Y106" s="3">
        <f t="shared" si="18"/>
        <v>0.0826632408895298</v>
      </c>
      <c r="Z106" s="3">
        <f t="shared" si="18"/>
        <v>0.0818222034844959</v>
      </c>
      <c r="AA106" s="3">
        <f t="shared" si="18"/>
        <v>0.080909952267775</v>
      </c>
      <c r="AB106" s="3">
        <f t="shared" si="18"/>
        <v>0.0800158311076234</v>
      </c>
      <c r="AC106" s="3">
        <f t="shared" si="18"/>
        <v>0.079139304847487</v>
      </c>
      <c r="AD106" s="3">
        <f t="shared" si="18"/>
        <v>0.0782798591876774</v>
      </c>
      <c r="AE106" s="3">
        <f t="shared" si="18"/>
        <v>0.077436999679098</v>
      </c>
      <c r="AF106" s="3">
        <f t="shared" si="18"/>
        <v>0.0770849989780366</v>
      </c>
      <c r="AG106" s="3">
        <f t="shared" si="18"/>
        <v>0.0767384460867243</v>
      </c>
      <c r="AH106" s="3">
        <f t="shared" si="17"/>
        <v>0.0763972155051368</v>
      </c>
      <c r="AI106" s="3">
        <f t="shared" si="17"/>
        <v>0.0760611855586977</v>
      </c>
      <c r="AJ106" s="3">
        <f t="shared" si="17"/>
        <v>0.0757302382536226</v>
      </c>
    </row>
    <row r="107" spans="1:36">
      <c r="A107" t="str">
        <f>"recycling_archetype_"&amp;TEXT(ROUND(Table26[[#This Row],[2016]],3),"0.000")</f>
        <v>recycling_archetype_0.090</v>
      </c>
      <c r="B107" s="3">
        <f t="shared" si="13"/>
        <v>0.09</v>
      </c>
      <c r="C107" s="3">
        <f t="shared" si="19"/>
        <v>0.09</v>
      </c>
      <c r="D107" s="3">
        <f t="shared" si="19"/>
        <v>0.09</v>
      </c>
      <c r="E107" s="3">
        <f t="shared" si="19"/>
        <v>0.089617726969146</v>
      </c>
      <c r="F107" s="3">
        <f t="shared" si="19"/>
        <v>0.0892536214433123</v>
      </c>
      <c r="G107" s="3">
        <f t="shared" si="19"/>
        <v>0.0889064183687705</v>
      </c>
      <c r="H107" s="3">
        <f t="shared" si="19"/>
        <v>0.0885749674797214</v>
      </c>
      <c r="I107" s="3">
        <f t="shared" si="19"/>
        <v>0.0882582205676074</v>
      </c>
      <c r="J107" s="3">
        <f t="shared" si="19"/>
        <v>0.0879552204079537</v>
      </c>
      <c r="K107" s="3">
        <f t="shared" si="19"/>
        <v>0.0876650910983059</v>
      </c>
      <c r="L107" s="3">
        <f t="shared" si="19"/>
        <v>0.0873870296018379</v>
      </c>
      <c r="M107" s="3">
        <f t="shared" si="19"/>
        <v>0.0871202983246811</v>
      </c>
      <c r="N107" s="3">
        <f t="shared" si="19"/>
        <v>0.0868642185824952</v>
      </c>
      <c r="O107" s="3">
        <f t="shared" si="19"/>
        <v>0.0866181648344271</v>
      </c>
      <c r="P107" s="3">
        <f t="shared" si="19"/>
        <v>0.0863815595813185</v>
      </c>
      <c r="Q107" s="3">
        <f t="shared" si="19"/>
        <v>0.0857830371504365</v>
      </c>
      <c r="R107" s="3">
        <f t="shared" si="19"/>
        <v>0.0852026550996252</v>
      </c>
      <c r="S107" s="3">
        <f t="shared" si="18"/>
        <v>0.0846396010258588</v>
      </c>
      <c r="T107" s="3">
        <f t="shared" si="18"/>
        <v>0.0840931103230581</v>
      </c>
      <c r="U107" s="3">
        <f t="shared" si="18"/>
        <v>0.0835624627179337</v>
      </c>
      <c r="V107" s="3">
        <f t="shared" si="18"/>
        <v>0.0828548582443889</v>
      </c>
      <c r="W107" s="3">
        <f t="shared" si="18"/>
        <v>0.0821700063969884</v>
      </c>
      <c r="X107" s="3">
        <f t="shared" si="18"/>
        <v>0.0815068271427063</v>
      </c>
      <c r="Y107" s="3">
        <f t="shared" si="18"/>
        <v>0.0808643077404963</v>
      </c>
      <c r="Z107" s="3">
        <f t="shared" si="18"/>
        <v>0.080241497580849</v>
      </c>
      <c r="AA107" s="3">
        <f t="shared" si="18"/>
        <v>0.0795659517341083</v>
      </c>
      <c r="AB107" s="3">
        <f t="shared" si="18"/>
        <v>0.0789038316676701</v>
      </c>
      <c r="AC107" s="3">
        <f t="shared" si="18"/>
        <v>0.0782547410841324</v>
      </c>
      <c r="AD107" s="3">
        <f t="shared" si="18"/>
        <v>0.0776182991311463</v>
      </c>
      <c r="AE107" s="3">
        <f t="shared" si="18"/>
        <v>0.0769941396562447</v>
      </c>
      <c r="AF107" s="3">
        <f t="shared" si="18"/>
        <v>0.0767334739456452</v>
      </c>
      <c r="AG107" s="3">
        <f t="shared" si="18"/>
        <v>0.0764768424804183</v>
      </c>
      <c r="AH107" s="3">
        <f t="shared" si="17"/>
        <v>0.0762241523245192</v>
      </c>
      <c r="AI107" s="3">
        <f t="shared" si="17"/>
        <v>0.0759753133747467</v>
      </c>
      <c r="AJ107" s="3">
        <f t="shared" si="17"/>
        <v>0.0757302382536226</v>
      </c>
    </row>
    <row r="108" spans="1:36">
      <c r="A108" t="str">
        <f>"recycling_archetype_"&amp;TEXT(ROUND(Table26[[#This Row],[2016]],3),"0.000")</f>
        <v>recycling_archetype_0.085</v>
      </c>
      <c r="B108" s="3">
        <f t="shared" si="13"/>
        <v>0.085</v>
      </c>
      <c r="C108" s="3">
        <f t="shared" si="19"/>
        <v>0.085</v>
      </c>
      <c r="D108" s="3">
        <f t="shared" si="19"/>
        <v>0.085</v>
      </c>
      <c r="E108" s="3">
        <f t="shared" si="19"/>
        <v>0.0847516721034966</v>
      </c>
      <c r="F108" s="3">
        <f t="shared" si="19"/>
        <v>0.0845151459767816</v>
      </c>
      <c r="G108" s="3">
        <f t="shared" si="19"/>
        <v>0.0842895998299141</v>
      </c>
      <c r="H108" s="3">
        <f t="shared" si="19"/>
        <v>0.084074286440194</v>
      </c>
      <c r="I108" s="3">
        <f t="shared" si="19"/>
        <v>0.0838685248821958</v>
      </c>
      <c r="J108" s="3">
        <f t="shared" si="19"/>
        <v>0.0836716933345481</v>
      </c>
      <c r="K108" s="3">
        <f t="shared" si="19"/>
        <v>0.0834832228033734</v>
      </c>
      <c r="L108" s="3">
        <f t="shared" si="19"/>
        <v>0.0833025916289424</v>
      </c>
      <c r="M108" s="3">
        <f t="shared" si="19"/>
        <v>0.0831293206638417</v>
      </c>
      <c r="N108" s="3">
        <f t="shared" si="19"/>
        <v>0.082962969028802</v>
      </c>
      <c r="O108" s="3">
        <f t="shared" si="19"/>
        <v>0.0828031303670266</v>
      </c>
      <c r="P108" s="3">
        <f t="shared" si="19"/>
        <v>0.0826494295300232</v>
      </c>
      <c r="Q108" s="3">
        <f t="shared" si="19"/>
        <v>0.0822606241362998</v>
      </c>
      <c r="R108" s="3">
        <f t="shared" ref="R108:AG108" si="20">(($B108-$AJ$2)*((R$2-$AJ$2)/($B$2-$AJ$2)))+$AJ$2</f>
        <v>0.0818836028917608</v>
      </c>
      <c r="S108" s="3">
        <f t="shared" si="20"/>
        <v>0.0815178380523116</v>
      </c>
      <c r="T108" s="3">
        <f t="shared" si="20"/>
        <v>0.0811628329231714</v>
      </c>
      <c r="U108" s="3">
        <f t="shared" si="20"/>
        <v>0.0808181196085263</v>
      </c>
      <c r="V108" s="3">
        <f t="shared" si="20"/>
        <v>0.0803584535680547</v>
      </c>
      <c r="W108" s="3">
        <f t="shared" si="20"/>
        <v>0.0799135678320626</v>
      </c>
      <c r="X108" s="3">
        <f t="shared" si="20"/>
        <v>0.0794827608016722</v>
      </c>
      <c r="Y108" s="3">
        <f t="shared" si="20"/>
        <v>0.0790653745914628</v>
      </c>
      <c r="Z108" s="3">
        <f t="shared" si="20"/>
        <v>0.0786607916772022</v>
      </c>
      <c r="AA108" s="3">
        <f t="shared" si="20"/>
        <v>0.0782219512004415</v>
      </c>
      <c r="AB108" s="3">
        <f t="shared" si="20"/>
        <v>0.0777918322277169</v>
      </c>
      <c r="AC108" s="3">
        <f t="shared" si="20"/>
        <v>0.0773701773207778</v>
      </c>
      <c r="AD108" s="3">
        <f t="shared" si="20"/>
        <v>0.0769567390746152</v>
      </c>
      <c r="AE108" s="3">
        <f t="shared" si="20"/>
        <v>0.0765512796333915</v>
      </c>
      <c r="AF108" s="3">
        <f t="shared" si="20"/>
        <v>0.0763819489132538</v>
      </c>
      <c r="AG108" s="3">
        <f t="shared" si="20"/>
        <v>0.0762152388741124</v>
      </c>
      <c r="AH108" s="3">
        <f t="shared" si="17"/>
        <v>0.0760510891439017</v>
      </c>
      <c r="AI108" s="3">
        <f t="shared" si="17"/>
        <v>0.0758894411907958</v>
      </c>
      <c r="AJ108" s="3">
        <f t="shared" si="17"/>
        <v>0.0757302382536226</v>
      </c>
    </row>
    <row r="109" spans="1:36">
      <c r="A109" t="str">
        <f>"recycling_archetype_"&amp;TEXT(ROUND(Table26[[#This Row],[2016]],3),"0.000")</f>
        <v>recycling_archetype_0.080</v>
      </c>
      <c r="B109" s="3">
        <f t="shared" si="13"/>
        <v>0.08</v>
      </c>
      <c r="C109" s="3">
        <f t="shared" ref="C109:AJ109" si="21">(($B109-$AJ$2)*((C$2-$AJ$2)/($B$2-$AJ$2)))+$AJ$2</f>
        <v>0.08</v>
      </c>
      <c r="D109" s="3">
        <f t="shared" si="21"/>
        <v>0.08</v>
      </c>
      <c r="E109" s="3">
        <f t="shared" si="21"/>
        <v>0.0798856172378472</v>
      </c>
      <c r="F109" s="3">
        <f t="shared" si="21"/>
        <v>0.0797766705102508</v>
      </c>
      <c r="G109" s="3">
        <f t="shared" si="21"/>
        <v>0.0796727812910576</v>
      </c>
      <c r="H109" s="3">
        <f t="shared" si="21"/>
        <v>0.0795736054006666</v>
      </c>
      <c r="I109" s="3">
        <f t="shared" si="21"/>
        <v>0.0794788291967843</v>
      </c>
      <c r="J109" s="3">
        <f t="shared" si="21"/>
        <v>0.0793881662611425</v>
      </c>
      <c r="K109" s="3">
        <f t="shared" si="21"/>
        <v>0.0793013545084409</v>
      </c>
      <c r="L109" s="3">
        <f t="shared" si="21"/>
        <v>0.0792181536560468</v>
      </c>
      <c r="M109" s="3">
        <f t="shared" si="21"/>
        <v>0.0791383430030023</v>
      </c>
      <c r="N109" s="3">
        <f t="shared" si="21"/>
        <v>0.0790617194751088</v>
      </c>
      <c r="O109" s="3">
        <f t="shared" si="21"/>
        <v>0.0789880958996261</v>
      </c>
      <c r="P109" s="3">
        <f t="shared" si="21"/>
        <v>0.0789172994787279</v>
      </c>
      <c r="Q109" s="3">
        <f t="shared" si="21"/>
        <v>0.0787382111221631</v>
      </c>
      <c r="R109" s="3">
        <f t="shared" si="21"/>
        <v>0.0785645506838964</v>
      </c>
      <c r="S109" s="3">
        <f t="shared" si="21"/>
        <v>0.0783960750787644</v>
      </c>
      <c r="T109" s="3">
        <f t="shared" si="21"/>
        <v>0.0782325555232847</v>
      </c>
      <c r="U109" s="3">
        <f t="shared" si="21"/>
        <v>0.078073776499119</v>
      </c>
      <c r="V109" s="3">
        <f t="shared" si="21"/>
        <v>0.0778620488917205</v>
      </c>
      <c r="W109" s="3">
        <f t="shared" si="21"/>
        <v>0.0776571292671368</v>
      </c>
      <c r="X109" s="3">
        <f t="shared" si="21"/>
        <v>0.0774586944606381</v>
      </c>
      <c r="Y109" s="3">
        <f t="shared" si="21"/>
        <v>0.0772664414424293</v>
      </c>
      <c r="Z109" s="3">
        <f t="shared" si="21"/>
        <v>0.0770800857735554</v>
      </c>
      <c r="AA109" s="3">
        <f t="shared" si="21"/>
        <v>0.0768779506667748</v>
      </c>
      <c r="AB109" s="3">
        <f t="shared" si="21"/>
        <v>0.0766798327877637</v>
      </c>
      <c r="AC109" s="3">
        <f t="shared" si="21"/>
        <v>0.0764856135574232</v>
      </c>
      <c r="AD109" s="3">
        <f t="shared" si="21"/>
        <v>0.0762951790180841</v>
      </c>
      <c r="AE109" s="3">
        <f t="shared" si="21"/>
        <v>0.0761084196105383</v>
      </c>
      <c r="AF109" s="3">
        <f t="shared" si="21"/>
        <v>0.0760304238808624</v>
      </c>
      <c r="AG109" s="3">
        <f t="shared" si="21"/>
        <v>0.0759536352678065</v>
      </c>
      <c r="AH109" s="3">
        <f t="shared" si="21"/>
        <v>0.0758780259632841</v>
      </c>
      <c r="AI109" s="3">
        <f t="shared" si="21"/>
        <v>0.0758035690068449</v>
      </c>
      <c r="AJ109" s="3">
        <f t="shared" si="21"/>
        <v>0.0757302382536226</v>
      </c>
    </row>
    <row r="110" spans="1:36">
      <c r="A110" t="s">
        <v>209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</row>
  </sheetData>
  <pageMargins left="0.7" right="0.7" top="0.75" bottom="0.75" header="0.3" footer="0.3"/>
  <pageSetup paperSize="9" orientation="portrait"/>
  <headerFooter/>
  <drawing r:id="rId1"/>
  <tableParts count="2">
    <tablePart r:id="rId2"/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>
    <tabColor theme="9"/>
  </sheetPr>
  <dimension ref="A1:AJ94"/>
  <sheetViews>
    <sheetView topLeftCell="A59" workbookViewId="0">
      <selection activeCell="AH94" sqref="AH94:AJ94"/>
    </sheetView>
  </sheetViews>
  <sheetFormatPr defaultColWidth="8.83333333333333" defaultRowHeight="13.5"/>
  <cols>
    <col min="1" max="1" width="42.5" customWidth="1"/>
    <col min="2" max="2" width="16.8333333333333" style="3" customWidth="1"/>
  </cols>
  <sheetData>
    <row r="1" spans="1:36">
      <c r="A1" t="s">
        <v>106</v>
      </c>
      <c r="B1" t="s">
        <v>171</v>
      </c>
      <c r="C1" t="s">
        <v>172</v>
      </c>
      <c r="D1" t="s">
        <v>173</v>
      </c>
      <c r="E1" t="s">
        <v>174</v>
      </c>
      <c r="F1" t="s">
        <v>175</v>
      </c>
      <c r="G1" t="s">
        <v>176</v>
      </c>
      <c r="H1" t="s">
        <v>177</v>
      </c>
      <c r="I1" t="s">
        <v>54</v>
      </c>
      <c r="J1" t="s">
        <v>178</v>
      </c>
      <c r="K1" t="s">
        <v>179</v>
      </c>
      <c r="L1" t="s">
        <v>180</v>
      </c>
      <c r="M1" t="s">
        <v>181</v>
      </c>
      <c r="N1" t="s">
        <v>182</v>
      </c>
      <c r="O1" t="s">
        <v>183</v>
      </c>
      <c r="P1" t="s">
        <v>184</v>
      </c>
      <c r="Q1" t="s">
        <v>185</v>
      </c>
      <c r="R1" t="s">
        <v>186</v>
      </c>
      <c r="S1" t="s">
        <v>187</v>
      </c>
      <c r="T1" t="s">
        <v>188</v>
      </c>
      <c r="U1" t="s">
        <v>189</v>
      </c>
      <c r="V1" t="s">
        <v>190</v>
      </c>
      <c r="W1" t="s">
        <v>191</v>
      </c>
      <c r="X1" t="s">
        <v>192</v>
      </c>
      <c r="Y1" t="s">
        <v>193</v>
      </c>
      <c r="Z1" t="s">
        <v>194</v>
      </c>
      <c r="AA1" t="s">
        <v>195</v>
      </c>
      <c r="AB1" t="s">
        <v>196</v>
      </c>
      <c r="AC1" t="s">
        <v>197</v>
      </c>
      <c r="AD1" t="s">
        <v>198</v>
      </c>
      <c r="AE1" t="s">
        <v>199</v>
      </c>
      <c r="AF1" t="s">
        <v>200</v>
      </c>
      <c r="AG1" t="s">
        <v>201</v>
      </c>
      <c r="AH1" t="s">
        <v>202</v>
      </c>
      <c r="AI1" t="s">
        <v>203</v>
      </c>
      <c r="AJ1" t="s">
        <v>204</v>
      </c>
    </row>
    <row r="2" spans="1:36">
      <c r="A2" t="s">
        <v>218</v>
      </c>
      <c r="B2" s="3">
        <f>'Sectoral Slopes'!C24</f>
        <v>0.3</v>
      </c>
      <c r="C2" s="3">
        <f>'Sectoral Slopes'!D24</f>
        <v>0.3</v>
      </c>
      <c r="D2" s="3">
        <f>'Sectoral Slopes'!E24</f>
        <v>0.3</v>
      </c>
      <c r="E2" s="3">
        <f>'Sectoral Slopes'!F24</f>
        <v>0.293010709316617</v>
      </c>
      <c r="F2" s="3">
        <f>'Sectoral Slopes'!G24</f>
        <v>0.286021418633234</v>
      </c>
      <c r="G2" s="3">
        <f>'Sectoral Slopes'!H24</f>
        <v>0.27903212794985</v>
      </c>
      <c r="H2" s="3">
        <f>'Sectoral Slopes'!I24</f>
        <v>0.272042837266467</v>
      </c>
      <c r="I2" s="3">
        <f>'Sectoral Slopes'!J24</f>
        <v>0.265053546583084</v>
      </c>
      <c r="J2" s="3">
        <f>'Sectoral Slopes'!K24</f>
        <v>0.258064255899701</v>
      </c>
      <c r="K2" s="3">
        <f>'Sectoral Slopes'!L24</f>
        <v>0.251074965216317</v>
      </c>
      <c r="L2" s="3">
        <f>'Sectoral Slopes'!M24</f>
        <v>0.244085674532934</v>
      </c>
      <c r="M2" s="3">
        <f>'Sectoral Slopes'!N24</f>
        <v>0.237096383849551</v>
      </c>
      <c r="N2" s="3">
        <f>'Sectoral Slopes'!O24</f>
        <v>0.230107093166168</v>
      </c>
      <c r="O2" s="3">
        <f>'Sectoral Slopes'!P24</f>
        <v>0.223117802482785</v>
      </c>
      <c r="P2" s="3">
        <f>'Sectoral Slopes'!Q24</f>
        <v>0.216128511799401</v>
      </c>
      <c r="Q2" s="3">
        <f>'Sectoral Slopes'!R24</f>
        <v>0.211638420287961</v>
      </c>
      <c r="R2" s="3">
        <f>'Sectoral Slopes'!S24</f>
        <v>0.20714832877652</v>
      </c>
      <c r="S2" s="3">
        <f>'Sectoral Slopes'!T24</f>
        <v>0.20265823726508</v>
      </c>
      <c r="T2" s="3">
        <f>'Sectoral Slopes'!U24</f>
        <v>0.198168145753639</v>
      </c>
      <c r="U2" s="3">
        <f>'Sectoral Slopes'!V24</f>
        <v>0.193678054242199</v>
      </c>
      <c r="V2" s="3">
        <f>'Sectoral Slopes'!W24</f>
        <v>0.188199568919312</v>
      </c>
      <c r="W2" s="3">
        <f>'Sectoral Slopes'!X24</f>
        <v>0.182721083596425</v>
      </c>
      <c r="X2" s="3">
        <f>'Sectoral Slopes'!Y24</f>
        <v>0.177242598273538</v>
      </c>
      <c r="Y2" s="3">
        <f>'Sectoral Slopes'!Z24</f>
        <v>0.171764112950651</v>
      </c>
      <c r="Z2" s="3">
        <f>'Sectoral Slopes'!AA24</f>
        <v>0.166285627627764</v>
      </c>
      <c r="AA2" s="3">
        <f>'Sectoral Slopes'!AB24</f>
        <v>0.162140699537888</v>
      </c>
      <c r="AB2" s="3">
        <f>'Sectoral Slopes'!AC24</f>
        <v>0.157995771448012</v>
      </c>
      <c r="AC2" s="3">
        <f>'Sectoral Slopes'!AD24</f>
        <v>0.153850843358135</v>
      </c>
      <c r="AD2" s="3">
        <f>'Sectoral Slopes'!AE24</f>
        <v>0.149705915268259</v>
      </c>
      <c r="AE2" s="3">
        <f>'Sectoral Slopes'!AF24</f>
        <v>0.145560987178383</v>
      </c>
      <c r="AF2" s="3">
        <f>'Sectoral Slopes'!AG24</f>
        <v>0.127707045729654</v>
      </c>
      <c r="AG2" s="3">
        <f>'Sectoral Slopes'!AH24</f>
        <v>0.109853104280926</v>
      </c>
      <c r="AH2" s="3">
        <f>'Sectoral Slopes'!AI24</f>
        <v>0.0919991628321977</v>
      </c>
      <c r="AI2" s="3">
        <f>'Sectoral Slopes'!AJ24</f>
        <v>0.0741452213834694</v>
      </c>
      <c r="AJ2" s="3">
        <f>'Sectoral Slopes'!AK24</f>
        <v>0.0562912799347411</v>
      </c>
    </row>
    <row r="4" spans="1:36">
      <c r="A4" t="s">
        <v>219</v>
      </c>
      <c r="B4" t="s">
        <v>171</v>
      </c>
      <c r="C4" t="s">
        <v>172</v>
      </c>
      <c r="D4" t="s">
        <v>173</v>
      </c>
      <c r="E4" t="s">
        <v>174</v>
      </c>
      <c r="F4" t="s">
        <v>175</v>
      </c>
      <c r="G4" t="s">
        <v>176</v>
      </c>
      <c r="H4" t="s">
        <v>177</v>
      </c>
      <c r="I4" t="s">
        <v>54</v>
      </c>
      <c r="J4" t="s">
        <v>178</v>
      </c>
      <c r="K4" t="s">
        <v>179</v>
      </c>
      <c r="L4" t="s">
        <v>180</v>
      </c>
      <c r="M4" t="s">
        <v>181</v>
      </c>
      <c r="N4" t="s">
        <v>182</v>
      </c>
      <c r="O4" t="s">
        <v>183</v>
      </c>
      <c r="P4" t="s">
        <v>184</v>
      </c>
      <c r="Q4" t="s">
        <v>185</v>
      </c>
      <c r="R4" t="s">
        <v>186</v>
      </c>
      <c r="S4" t="s">
        <v>187</v>
      </c>
      <c r="T4" t="s">
        <v>188</v>
      </c>
      <c r="U4" t="s">
        <v>189</v>
      </c>
      <c r="V4" t="s">
        <v>190</v>
      </c>
      <c r="W4" t="s">
        <v>191</v>
      </c>
      <c r="X4" t="s">
        <v>192</v>
      </c>
      <c r="Y4" t="s">
        <v>193</v>
      </c>
      <c r="Z4" t="s">
        <v>194</v>
      </c>
      <c r="AA4" t="s">
        <v>195</v>
      </c>
      <c r="AB4" t="s">
        <v>196</v>
      </c>
      <c r="AC4" t="s">
        <v>197</v>
      </c>
      <c r="AD4" t="s">
        <v>198</v>
      </c>
      <c r="AE4" t="s">
        <v>199</v>
      </c>
      <c r="AF4" t="s">
        <v>200</v>
      </c>
      <c r="AG4" t="s">
        <v>201</v>
      </c>
      <c r="AH4" t="s">
        <v>202</v>
      </c>
      <c r="AI4" t="s">
        <v>203</v>
      </c>
      <c r="AJ4" t="s">
        <v>204</v>
      </c>
    </row>
    <row r="5" spans="1:36">
      <c r="A5" t="str">
        <f>"semis_archetype_"&amp;TEXT(ROUND(Table269[[#This Row],[2016]],3),"0.000")</f>
        <v>semis_archetype_0.500</v>
      </c>
      <c r="B5" s="3">
        <v>0.5</v>
      </c>
      <c r="C5" s="3">
        <f>(($B5-$AJ$2)*((C$2-$AJ$2)/($B$2-$AJ$2)))+$AJ$2</f>
        <v>0.5</v>
      </c>
      <c r="D5" s="3">
        <f t="shared" ref="D5:AJ12" si="0">(($B5-$AJ$2)*((D$2-$AJ$2)/($B$2-$AJ$2)))+$AJ$2</f>
        <v>0.5</v>
      </c>
      <c r="E5" s="3">
        <f t="shared" si="0"/>
        <v>0.48727493533076</v>
      </c>
      <c r="F5" s="3">
        <f t="shared" si="0"/>
        <v>0.474549870661522</v>
      </c>
      <c r="G5" s="3">
        <f t="shared" si="0"/>
        <v>0.461824805992281</v>
      </c>
      <c r="H5" s="3">
        <f t="shared" si="0"/>
        <v>0.449099741323042</v>
      </c>
      <c r="I5" s="3">
        <f t="shared" si="0"/>
        <v>0.436374676653802</v>
      </c>
      <c r="J5" s="3">
        <f t="shared" si="0"/>
        <v>0.423649611984563</v>
      </c>
      <c r="K5" s="3">
        <f t="shared" si="0"/>
        <v>0.410924547315323</v>
      </c>
      <c r="L5" s="3">
        <f t="shared" si="0"/>
        <v>0.398199482646084</v>
      </c>
      <c r="M5" s="3">
        <f t="shared" si="0"/>
        <v>0.385474417976844</v>
      </c>
      <c r="N5" s="3">
        <f t="shared" si="0"/>
        <v>0.372749353307605</v>
      </c>
      <c r="O5" s="3">
        <f t="shared" si="0"/>
        <v>0.360024288638365</v>
      </c>
      <c r="P5" s="3">
        <f t="shared" si="0"/>
        <v>0.347299223969126</v>
      </c>
      <c r="Q5" s="3">
        <f t="shared" si="0"/>
        <v>0.339124330772922</v>
      </c>
      <c r="R5" s="3">
        <f t="shared" si="0"/>
        <v>0.330949437576717</v>
      </c>
      <c r="S5" s="3">
        <f t="shared" si="0"/>
        <v>0.322774544380513</v>
      </c>
      <c r="T5" s="3">
        <f t="shared" si="0"/>
        <v>0.314599651184309</v>
      </c>
      <c r="U5" s="3">
        <f t="shared" si="0"/>
        <v>0.306424757988104</v>
      </c>
      <c r="V5" s="3">
        <f t="shared" si="0"/>
        <v>0.296450343819159</v>
      </c>
      <c r="W5" s="3">
        <f t="shared" si="0"/>
        <v>0.286475929650214</v>
      </c>
      <c r="X5" s="3">
        <f t="shared" si="0"/>
        <v>0.276501515481268</v>
      </c>
      <c r="Y5" s="3">
        <f t="shared" si="0"/>
        <v>0.266527101312323</v>
      </c>
      <c r="Z5" s="3">
        <f t="shared" si="0"/>
        <v>0.256552687143378</v>
      </c>
      <c r="AA5" s="3">
        <f t="shared" si="0"/>
        <v>0.249006216352225</v>
      </c>
      <c r="AB5" s="3">
        <f t="shared" si="0"/>
        <v>0.241459745561073</v>
      </c>
      <c r="AC5" s="3">
        <f t="shared" si="0"/>
        <v>0.233913274769921</v>
      </c>
      <c r="AD5" s="3">
        <f t="shared" si="0"/>
        <v>0.226366803978769</v>
      </c>
      <c r="AE5" s="3">
        <f t="shared" si="0"/>
        <v>0.218820333187617</v>
      </c>
      <c r="AF5" s="3">
        <f t="shared" si="0"/>
        <v>0.186314522537042</v>
      </c>
      <c r="AG5" s="3">
        <f t="shared" si="0"/>
        <v>0.153808711886466</v>
      </c>
      <c r="AH5" s="3">
        <f t="shared" si="0"/>
        <v>0.121302901235891</v>
      </c>
      <c r="AI5" s="3">
        <f t="shared" si="0"/>
        <v>0.0887970905853162</v>
      </c>
      <c r="AJ5" s="3">
        <f t="shared" si="0"/>
        <v>0.0562912799347411</v>
      </c>
    </row>
    <row r="6" spans="1:36">
      <c r="A6" t="str">
        <f>"semis_archetype_"&amp;TEXT(ROUND(Table269[[#This Row],[2016]],3),"0.000")</f>
        <v>semis_archetype_0.495</v>
      </c>
      <c r="B6" s="3">
        <f>MROUND(B5-0.005,0.005)</f>
        <v>0.495</v>
      </c>
      <c r="C6" s="3">
        <f t="shared" ref="C6:R28" si="1">(($B6-$AJ$2)*((C$2-$AJ$2)/($B$2-$AJ$2)))+$AJ$2</f>
        <v>0.495</v>
      </c>
      <c r="D6" s="3">
        <f t="shared" si="0"/>
        <v>0.495</v>
      </c>
      <c r="E6" s="3">
        <f t="shared" si="0"/>
        <v>0.482418329680407</v>
      </c>
      <c r="F6" s="3">
        <f t="shared" si="0"/>
        <v>0.469836659360815</v>
      </c>
      <c r="G6" s="3">
        <f t="shared" si="0"/>
        <v>0.457254989041221</v>
      </c>
      <c r="H6" s="3">
        <f t="shared" si="0"/>
        <v>0.444673318721628</v>
      </c>
      <c r="I6" s="3">
        <f t="shared" si="0"/>
        <v>0.432091648402035</v>
      </c>
      <c r="J6" s="3">
        <f t="shared" si="0"/>
        <v>0.419509978082441</v>
      </c>
      <c r="K6" s="3">
        <f t="shared" si="0"/>
        <v>0.406928307762848</v>
      </c>
      <c r="L6" s="3">
        <f t="shared" si="0"/>
        <v>0.394346637443255</v>
      </c>
      <c r="M6" s="3">
        <f t="shared" si="0"/>
        <v>0.381764967123662</v>
      </c>
      <c r="N6" s="3">
        <f t="shared" si="0"/>
        <v>0.369183296804069</v>
      </c>
      <c r="O6" s="3">
        <f t="shared" si="0"/>
        <v>0.356601626484476</v>
      </c>
      <c r="P6" s="3">
        <f t="shared" si="0"/>
        <v>0.344019956164883</v>
      </c>
      <c r="Q6" s="3">
        <f t="shared" si="0"/>
        <v>0.335937183010798</v>
      </c>
      <c r="R6" s="3">
        <f t="shared" si="0"/>
        <v>0.327854409856713</v>
      </c>
      <c r="S6" s="3">
        <f t="shared" si="0"/>
        <v>0.319771636702627</v>
      </c>
      <c r="T6" s="3">
        <f t="shared" si="0"/>
        <v>0.311688863548542</v>
      </c>
      <c r="U6" s="3">
        <f t="shared" si="0"/>
        <v>0.303606090394457</v>
      </c>
      <c r="V6" s="3">
        <f t="shared" si="0"/>
        <v>0.293744074446663</v>
      </c>
      <c r="W6" s="3">
        <f t="shared" si="0"/>
        <v>0.283882058498869</v>
      </c>
      <c r="X6" s="3">
        <f t="shared" si="0"/>
        <v>0.274020042551075</v>
      </c>
      <c r="Y6" s="3">
        <f t="shared" si="0"/>
        <v>0.264158026603281</v>
      </c>
      <c r="Z6" s="3">
        <f t="shared" si="0"/>
        <v>0.254296010655487</v>
      </c>
      <c r="AA6" s="3">
        <f t="shared" si="0"/>
        <v>0.246834578431867</v>
      </c>
      <c r="AB6" s="3">
        <f t="shared" si="0"/>
        <v>0.239373146208247</v>
      </c>
      <c r="AC6" s="3">
        <f t="shared" si="0"/>
        <v>0.231911713984626</v>
      </c>
      <c r="AD6" s="3">
        <f t="shared" si="0"/>
        <v>0.224450281761006</v>
      </c>
      <c r="AE6" s="3">
        <f t="shared" si="0"/>
        <v>0.216988849537386</v>
      </c>
      <c r="AF6" s="3">
        <f t="shared" si="0"/>
        <v>0.184849335616857</v>
      </c>
      <c r="AG6" s="3">
        <f t="shared" si="0"/>
        <v>0.152709821696328</v>
      </c>
      <c r="AH6" s="3">
        <f t="shared" si="0"/>
        <v>0.120570307775799</v>
      </c>
      <c r="AI6" s="3">
        <f t="shared" si="0"/>
        <v>0.08843079385527</v>
      </c>
      <c r="AJ6" s="3">
        <f t="shared" si="0"/>
        <v>0.0562912799347411</v>
      </c>
    </row>
    <row r="7" spans="1:36">
      <c r="A7" t="str">
        <f>"semis_archetype_"&amp;TEXT(ROUND(Table269[[#This Row],[2016]],3),"0.000")</f>
        <v>semis_archetype_0.490</v>
      </c>
      <c r="B7" s="3">
        <f t="shared" ref="B7:B70" si="2">MROUND(B6-0.005,0.005)</f>
        <v>0.49</v>
      </c>
      <c r="C7" s="3">
        <f t="shared" si="1"/>
        <v>0.49</v>
      </c>
      <c r="D7" s="3">
        <f t="shared" si="0"/>
        <v>0.49</v>
      </c>
      <c r="E7" s="3">
        <f t="shared" si="0"/>
        <v>0.477561724030053</v>
      </c>
      <c r="F7" s="3">
        <f t="shared" si="0"/>
        <v>0.465123448060107</v>
      </c>
      <c r="G7" s="3">
        <f t="shared" si="0"/>
        <v>0.45268517209016</v>
      </c>
      <c r="H7" s="3">
        <f t="shared" si="0"/>
        <v>0.440246896120213</v>
      </c>
      <c r="I7" s="3">
        <f t="shared" si="0"/>
        <v>0.427808620150267</v>
      </c>
      <c r="J7" s="3">
        <f t="shared" si="0"/>
        <v>0.41537034418032</v>
      </c>
      <c r="K7" s="3">
        <f t="shared" si="0"/>
        <v>0.402932068210373</v>
      </c>
      <c r="L7" s="3">
        <f t="shared" si="0"/>
        <v>0.390493792240426</v>
      </c>
      <c r="M7" s="3">
        <f t="shared" si="0"/>
        <v>0.37805551627048</v>
      </c>
      <c r="N7" s="3">
        <f t="shared" si="0"/>
        <v>0.365617240300533</v>
      </c>
      <c r="O7" s="3">
        <f t="shared" si="0"/>
        <v>0.353178964330586</v>
      </c>
      <c r="P7" s="3">
        <f t="shared" si="0"/>
        <v>0.34074068836064</v>
      </c>
      <c r="Q7" s="3">
        <f t="shared" si="0"/>
        <v>0.332750035248674</v>
      </c>
      <c r="R7" s="3">
        <f t="shared" si="0"/>
        <v>0.324759382136708</v>
      </c>
      <c r="S7" s="3">
        <f t="shared" si="0"/>
        <v>0.316768729024742</v>
      </c>
      <c r="T7" s="3">
        <f t="shared" si="0"/>
        <v>0.308778075912775</v>
      </c>
      <c r="U7" s="3">
        <f t="shared" si="0"/>
        <v>0.300787422800809</v>
      </c>
      <c r="V7" s="3">
        <f t="shared" si="0"/>
        <v>0.291037805074167</v>
      </c>
      <c r="W7" s="3">
        <f t="shared" si="0"/>
        <v>0.281288187347524</v>
      </c>
      <c r="X7" s="3">
        <f t="shared" si="0"/>
        <v>0.271538569620882</v>
      </c>
      <c r="Y7" s="3">
        <f t="shared" si="0"/>
        <v>0.261788951894239</v>
      </c>
      <c r="Z7" s="3">
        <f t="shared" si="0"/>
        <v>0.252039334167597</v>
      </c>
      <c r="AA7" s="3">
        <f t="shared" si="0"/>
        <v>0.244662940511509</v>
      </c>
      <c r="AB7" s="3">
        <f t="shared" si="0"/>
        <v>0.23728654685542</v>
      </c>
      <c r="AC7" s="3">
        <f t="shared" si="0"/>
        <v>0.229910153199332</v>
      </c>
      <c r="AD7" s="3">
        <f t="shared" si="0"/>
        <v>0.222533759543243</v>
      </c>
      <c r="AE7" s="3">
        <f t="shared" si="0"/>
        <v>0.215157365887155</v>
      </c>
      <c r="AF7" s="3">
        <f t="shared" si="0"/>
        <v>0.183384148696672</v>
      </c>
      <c r="AG7" s="3">
        <f t="shared" si="0"/>
        <v>0.151610931506189</v>
      </c>
      <c r="AH7" s="3">
        <f t="shared" si="0"/>
        <v>0.119837714315707</v>
      </c>
      <c r="AI7" s="3">
        <f t="shared" si="0"/>
        <v>0.0880644971252238</v>
      </c>
      <c r="AJ7" s="3">
        <f t="shared" si="0"/>
        <v>0.0562912799347411</v>
      </c>
    </row>
    <row r="8" spans="1:36">
      <c r="A8" t="str">
        <f>"semis_archetype_"&amp;TEXT(ROUND(Table269[[#This Row],[2016]],3),"0.000")</f>
        <v>semis_archetype_0.485</v>
      </c>
      <c r="B8" s="3">
        <f t="shared" si="2"/>
        <v>0.485</v>
      </c>
      <c r="C8" s="3">
        <f t="shared" si="1"/>
        <v>0.485</v>
      </c>
      <c r="D8" s="3">
        <f t="shared" si="0"/>
        <v>0.485</v>
      </c>
      <c r="E8" s="3">
        <f t="shared" si="0"/>
        <v>0.4727051183797</v>
      </c>
      <c r="F8" s="3">
        <f t="shared" si="0"/>
        <v>0.4604102367594</v>
      </c>
      <c r="G8" s="3">
        <f t="shared" si="0"/>
        <v>0.448115355139099</v>
      </c>
      <c r="H8" s="3">
        <f t="shared" si="0"/>
        <v>0.435820473518799</v>
      </c>
      <c r="I8" s="3">
        <f t="shared" si="0"/>
        <v>0.423525591898499</v>
      </c>
      <c r="J8" s="3">
        <f t="shared" si="0"/>
        <v>0.411230710278198</v>
      </c>
      <c r="K8" s="3">
        <f t="shared" si="0"/>
        <v>0.398935828657898</v>
      </c>
      <c r="L8" s="3">
        <f t="shared" si="0"/>
        <v>0.386640947037598</v>
      </c>
      <c r="M8" s="3">
        <f t="shared" si="0"/>
        <v>0.374346065417297</v>
      </c>
      <c r="N8" s="3">
        <f t="shared" si="0"/>
        <v>0.362051183796997</v>
      </c>
      <c r="O8" s="3">
        <f t="shared" si="0"/>
        <v>0.349756302176697</v>
      </c>
      <c r="P8" s="3">
        <f t="shared" si="0"/>
        <v>0.337461420556397</v>
      </c>
      <c r="Q8" s="3">
        <f t="shared" si="0"/>
        <v>0.32956288748655</v>
      </c>
      <c r="R8" s="3">
        <f t="shared" si="0"/>
        <v>0.321664354416703</v>
      </c>
      <c r="S8" s="3">
        <f t="shared" si="0"/>
        <v>0.313765821346856</v>
      </c>
      <c r="T8" s="3">
        <f t="shared" si="0"/>
        <v>0.305867288277009</v>
      </c>
      <c r="U8" s="3">
        <f t="shared" si="0"/>
        <v>0.297968755207161</v>
      </c>
      <c r="V8" s="3">
        <f t="shared" si="0"/>
        <v>0.288331535701671</v>
      </c>
      <c r="W8" s="3">
        <f t="shared" si="0"/>
        <v>0.27869431619618</v>
      </c>
      <c r="X8" s="3">
        <f t="shared" si="0"/>
        <v>0.269057096690689</v>
      </c>
      <c r="Y8" s="3">
        <f t="shared" si="0"/>
        <v>0.259419877185198</v>
      </c>
      <c r="Z8" s="3">
        <f t="shared" si="0"/>
        <v>0.249782657679707</v>
      </c>
      <c r="AA8" s="3">
        <f t="shared" si="0"/>
        <v>0.24249130259115</v>
      </c>
      <c r="AB8" s="3">
        <f t="shared" si="0"/>
        <v>0.235199947502594</v>
      </c>
      <c r="AC8" s="3">
        <f t="shared" si="0"/>
        <v>0.227908592414037</v>
      </c>
      <c r="AD8" s="3">
        <f t="shared" si="0"/>
        <v>0.220617237325481</v>
      </c>
      <c r="AE8" s="3">
        <f t="shared" si="0"/>
        <v>0.213325882236924</v>
      </c>
      <c r="AF8" s="3">
        <f t="shared" si="0"/>
        <v>0.181918961776487</v>
      </c>
      <c r="AG8" s="3">
        <f t="shared" si="0"/>
        <v>0.150512041316051</v>
      </c>
      <c r="AH8" s="3">
        <f t="shared" si="0"/>
        <v>0.119105120855614</v>
      </c>
      <c r="AI8" s="3">
        <f t="shared" si="0"/>
        <v>0.0876982003951777</v>
      </c>
      <c r="AJ8" s="3">
        <f t="shared" si="0"/>
        <v>0.0562912799347411</v>
      </c>
    </row>
    <row r="9" spans="1:36">
      <c r="A9" t="str">
        <f>"semis_archetype_"&amp;TEXT(ROUND(Table269[[#This Row],[2016]],3),"0.000")</f>
        <v>semis_archetype_0.480</v>
      </c>
      <c r="B9" s="3">
        <f t="shared" si="2"/>
        <v>0.48</v>
      </c>
      <c r="C9" s="3">
        <f t="shared" si="1"/>
        <v>0.48</v>
      </c>
      <c r="D9" s="3">
        <f t="shared" si="0"/>
        <v>0.48</v>
      </c>
      <c r="E9" s="3">
        <f t="shared" si="0"/>
        <v>0.467848512729346</v>
      </c>
      <c r="F9" s="3">
        <f t="shared" si="0"/>
        <v>0.455697025458693</v>
      </c>
      <c r="G9" s="3">
        <f t="shared" si="0"/>
        <v>0.443545538188038</v>
      </c>
      <c r="H9" s="3">
        <f t="shared" si="0"/>
        <v>0.431394050917384</v>
      </c>
      <c r="I9" s="3">
        <f t="shared" si="0"/>
        <v>0.419242563646731</v>
      </c>
      <c r="J9" s="3">
        <f t="shared" si="0"/>
        <v>0.407091076376077</v>
      </c>
      <c r="K9" s="3">
        <f t="shared" si="0"/>
        <v>0.394939589105423</v>
      </c>
      <c r="L9" s="3">
        <f t="shared" si="0"/>
        <v>0.382788101834769</v>
      </c>
      <c r="M9" s="3">
        <f t="shared" si="0"/>
        <v>0.370636614564115</v>
      </c>
      <c r="N9" s="3">
        <f t="shared" si="0"/>
        <v>0.358485127293461</v>
      </c>
      <c r="O9" s="3">
        <f t="shared" si="0"/>
        <v>0.346333640022807</v>
      </c>
      <c r="P9" s="3">
        <f t="shared" si="0"/>
        <v>0.334182152752154</v>
      </c>
      <c r="Q9" s="3">
        <f t="shared" si="0"/>
        <v>0.326375739724426</v>
      </c>
      <c r="R9" s="3">
        <f t="shared" si="0"/>
        <v>0.318569326696698</v>
      </c>
      <c r="S9" s="3">
        <f t="shared" si="0"/>
        <v>0.31076291366897</v>
      </c>
      <c r="T9" s="3">
        <f t="shared" si="0"/>
        <v>0.302956500641242</v>
      </c>
      <c r="U9" s="3">
        <f t="shared" si="0"/>
        <v>0.295150087613514</v>
      </c>
      <c r="V9" s="3">
        <f t="shared" si="0"/>
        <v>0.285625266329174</v>
      </c>
      <c r="W9" s="3">
        <f t="shared" si="0"/>
        <v>0.276100445044835</v>
      </c>
      <c r="X9" s="3">
        <f t="shared" si="0"/>
        <v>0.266575623760495</v>
      </c>
      <c r="Y9" s="3">
        <f t="shared" si="0"/>
        <v>0.257050802476156</v>
      </c>
      <c r="Z9" s="3">
        <f t="shared" si="0"/>
        <v>0.247525981191816</v>
      </c>
      <c r="AA9" s="3">
        <f t="shared" si="0"/>
        <v>0.240319664670792</v>
      </c>
      <c r="AB9" s="3">
        <f t="shared" si="0"/>
        <v>0.233113348149767</v>
      </c>
      <c r="AC9" s="3">
        <f t="shared" si="0"/>
        <v>0.225907031628743</v>
      </c>
      <c r="AD9" s="3">
        <f t="shared" si="0"/>
        <v>0.218700715107718</v>
      </c>
      <c r="AE9" s="3">
        <f t="shared" si="0"/>
        <v>0.211494398586693</v>
      </c>
      <c r="AF9" s="3">
        <f t="shared" si="0"/>
        <v>0.180453774856303</v>
      </c>
      <c r="AG9" s="3">
        <f t="shared" si="0"/>
        <v>0.149413151125912</v>
      </c>
      <c r="AH9" s="3">
        <f t="shared" si="0"/>
        <v>0.118372527395522</v>
      </c>
      <c r="AI9" s="3">
        <f t="shared" si="0"/>
        <v>0.0873319036651315</v>
      </c>
      <c r="AJ9" s="3">
        <f t="shared" si="0"/>
        <v>0.0562912799347411</v>
      </c>
    </row>
    <row r="10" spans="1:36">
      <c r="A10" t="str">
        <f>"semis_archetype_"&amp;TEXT(ROUND(Table269[[#This Row],[2016]],3),"0.000")</f>
        <v>semis_archetype_0.475</v>
      </c>
      <c r="B10" s="3">
        <f t="shared" si="2"/>
        <v>0.475</v>
      </c>
      <c r="C10" s="3">
        <f t="shared" si="1"/>
        <v>0.475</v>
      </c>
      <c r="D10" s="3">
        <f t="shared" si="0"/>
        <v>0.475</v>
      </c>
      <c r="E10" s="3">
        <f t="shared" si="0"/>
        <v>0.462991907078993</v>
      </c>
      <c r="F10" s="3">
        <f t="shared" si="0"/>
        <v>0.450983814157986</v>
      </c>
      <c r="G10" s="3">
        <f t="shared" si="0"/>
        <v>0.438975721236978</v>
      </c>
      <c r="H10" s="3">
        <f t="shared" si="0"/>
        <v>0.42696762831597</v>
      </c>
      <c r="I10" s="3">
        <f t="shared" si="0"/>
        <v>0.414959535394963</v>
      </c>
      <c r="J10" s="3">
        <f t="shared" si="0"/>
        <v>0.402951442473955</v>
      </c>
      <c r="K10" s="3">
        <f t="shared" si="0"/>
        <v>0.390943349552948</v>
      </c>
      <c r="L10" s="3">
        <f t="shared" si="0"/>
        <v>0.37893525663194</v>
      </c>
      <c r="M10" s="3">
        <f t="shared" si="0"/>
        <v>0.366927163710933</v>
      </c>
      <c r="N10" s="3">
        <f t="shared" si="0"/>
        <v>0.354919070789925</v>
      </c>
      <c r="O10" s="3">
        <f t="shared" si="0"/>
        <v>0.342910977868918</v>
      </c>
      <c r="P10" s="3">
        <f t="shared" si="0"/>
        <v>0.330902884947911</v>
      </c>
      <c r="Q10" s="3">
        <f t="shared" si="0"/>
        <v>0.323188591962302</v>
      </c>
      <c r="R10" s="3">
        <f t="shared" si="0"/>
        <v>0.315474298976693</v>
      </c>
      <c r="S10" s="3">
        <f t="shared" si="0"/>
        <v>0.307760005991084</v>
      </c>
      <c r="T10" s="3">
        <f t="shared" si="0"/>
        <v>0.300045713005475</v>
      </c>
      <c r="U10" s="3">
        <f t="shared" si="0"/>
        <v>0.292331420019866</v>
      </c>
      <c r="V10" s="3">
        <f t="shared" si="0"/>
        <v>0.282918996956678</v>
      </c>
      <c r="W10" s="3">
        <f t="shared" si="0"/>
        <v>0.27350657389349</v>
      </c>
      <c r="X10" s="3">
        <f t="shared" si="0"/>
        <v>0.264094150830302</v>
      </c>
      <c r="Y10" s="3">
        <f t="shared" si="0"/>
        <v>0.254681727767114</v>
      </c>
      <c r="Z10" s="3">
        <f t="shared" si="0"/>
        <v>0.245269304703926</v>
      </c>
      <c r="AA10" s="3">
        <f t="shared" si="0"/>
        <v>0.238148026750433</v>
      </c>
      <c r="AB10" s="3">
        <f t="shared" si="0"/>
        <v>0.231026748796941</v>
      </c>
      <c r="AC10" s="3">
        <f t="shared" si="0"/>
        <v>0.223905470843448</v>
      </c>
      <c r="AD10" s="3">
        <f t="shared" si="0"/>
        <v>0.216784192889955</v>
      </c>
      <c r="AE10" s="3">
        <f t="shared" si="0"/>
        <v>0.209662914936462</v>
      </c>
      <c r="AF10" s="3">
        <f t="shared" si="0"/>
        <v>0.178988587936118</v>
      </c>
      <c r="AG10" s="3">
        <f t="shared" si="0"/>
        <v>0.148314260935774</v>
      </c>
      <c r="AH10" s="3">
        <f t="shared" si="0"/>
        <v>0.11763993393543</v>
      </c>
      <c r="AI10" s="3">
        <f t="shared" si="0"/>
        <v>0.0869656069350853</v>
      </c>
      <c r="AJ10" s="3">
        <f t="shared" si="0"/>
        <v>0.0562912799347411</v>
      </c>
    </row>
    <row r="11" spans="1:36">
      <c r="A11" t="str">
        <f>"semis_archetype_"&amp;TEXT(ROUND(Table269[[#This Row],[2016]],3),"0.000")</f>
        <v>semis_archetype_0.470</v>
      </c>
      <c r="B11" s="3">
        <f t="shared" si="2"/>
        <v>0.47</v>
      </c>
      <c r="C11" s="3">
        <f t="shared" si="1"/>
        <v>0.47</v>
      </c>
      <c r="D11" s="3">
        <f t="shared" si="0"/>
        <v>0.47</v>
      </c>
      <c r="E11" s="3">
        <f t="shared" si="0"/>
        <v>0.458135301428639</v>
      </c>
      <c r="F11" s="3">
        <f t="shared" si="0"/>
        <v>0.446270602857279</v>
      </c>
      <c r="G11" s="3">
        <f t="shared" si="0"/>
        <v>0.434405904285917</v>
      </c>
      <c r="H11" s="3">
        <f t="shared" si="0"/>
        <v>0.422541205714556</v>
      </c>
      <c r="I11" s="3">
        <f t="shared" si="0"/>
        <v>0.410676507143195</v>
      </c>
      <c r="J11" s="3">
        <f t="shared" si="0"/>
        <v>0.398811808571834</v>
      </c>
      <c r="K11" s="3">
        <f t="shared" si="0"/>
        <v>0.386947110000473</v>
      </c>
      <c r="L11" s="3">
        <f t="shared" si="0"/>
        <v>0.375082411429111</v>
      </c>
      <c r="M11" s="3">
        <f t="shared" si="0"/>
        <v>0.36321771285775</v>
      </c>
      <c r="N11" s="3">
        <f t="shared" si="0"/>
        <v>0.351353014286389</v>
      </c>
      <c r="O11" s="3">
        <f t="shared" si="0"/>
        <v>0.339488315715028</v>
      </c>
      <c r="P11" s="3">
        <f t="shared" si="0"/>
        <v>0.327623617143668</v>
      </c>
      <c r="Q11" s="3">
        <f t="shared" si="0"/>
        <v>0.320001444200178</v>
      </c>
      <c r="R11" s="3">
        <f t="shared" si="0"/>
        <v>0.312379271256688</v>
      </c>
      <c r="S11" s="3">
        <f t="shared" si="0"/>
        <v>0.304757098313198</v>
      </c>
      <c r="T11" s="3">
        <f t="shared" si="0"/>
        <v>0.297134925369708</v>
      </c>
      <c r="U11" s="3">
        <f t="shared" si="0"/>
        <v>0.289512752426219</v>
      </c>
      <c r="V11" s="3">
        <f t="shared" si="0"/>
        <v>0.280212727584182</v>
      </c>
      <c r="W11" s="3">
        <f t="shared" si="0"/>
        <v>0.270912702742145</v>
      </c>
      <c r="X11" s="3">
        <f t="shared" si="0"/>
        <v>0.261612677900109</v>
      </c>
      <c r="Y11" s="3">
        <f t="shared" si="0"/>
        <v>0.252312653058072</v>
      </c>
      <c r="Z11" s="3">
        <f t="shared" si="0"/>
        <v>0.243012628216036</v>
      </c>
      <c r="AA11" s="3">
        <f t="shared" si="0"/>
        <v>0.235976388830075</v>
      </c>
      <c r="AB11" s="3">
        <f t="shared" si="0"/>
        <v>0.228940149444114</v>
      </c>
      <c r="AC11" s="3">
        <f t="shared" si="0"/>
        <v>0.221903910058153</v>
      </c>
      <c r="AD11" s="3">
        <f t="shared" si="0"/>
        <v>0.214867670672192</v>
      </c>
      <c r="AE11" s="3">
        <f t="shared" si="0"/>
        <v>0.207831431286232</v>
      </c>
      <c r="AF11" s="3">
        <f t="shared" si="0"/>
        <v>0.177523401015933</v>
      </c>
      <c r="AG11" s="3">
        <f t="shared" si="0"/>
        <v>0.147215370745635</v>
      </c>
      <c r="AH11" s="3">
        <f t="shared" si="0"/>
        <v>0.116907340475337</v>
      </c>
      <c r="AI11" s="3">
        <f t="shared" si="0"/>
        <v>0.0865993102050392</v>
      </c>
      <c r="AJ11" s="3">
        <f t="shared" si="0"/>
        <v>0.0562912799347411</v>
      </c>
    </row>
    <row r="12" spans="1:36">
      <c r="A12" t="str">
        <f>"semis_archetype_"&amp;TEXT(ROUND(Table269[[#This Row],[2016]],3),"0.000")</f>
        <v>semis_archetype_0.465</v>
      </c>
      <c r="B12" s="3">
        <f t="shared" si="2"/>
        <v>0.465</v>
      </c>
      <c r="C12" s="3">
        <f t="shared" si="1"/>
        <v>0.465</v>
      </c>
      <c r="D12" s="3">
        <f t="shared" si="0"/>
        <v>0.465</v>
      </c>
      <c r="E12" s="3">
        <f t="shared" si="0"/>
        <v>0.453278695778285</v>
      </c>
      <c r="F12" s="3">
        <f t="shared" si="0"/>
        <v>0.441557391556571</v>
      </c>
      <c r="G12" s="3">
        <f t="shared" si="0"/>
        <v>0.429836087334856</v>
      </c>
      <c r="H12" s="3">
        <f t="shared" si="0"/>
        <v>0.418114783113141</v>
      </c>
      <c r="I12" s="3">
        <f t="shared" si="0"/>
        <v>0.406393478891427</v>
      </c>
      <c r="J12" s="3">
        <f t="shared" si="0"/>
        <v>0.394672174669712</v>
      </c>
      <c r="K12" s="3">
        <f t="shared" si="0"/>
        <v>0.382950870447997</v>
      </c>
      <c r="L12" s="3">
        <f t="shared" si="0"/>
        <v>0.371229566226283</v>
      </c>
      <c r="M12" s="3">
        <f t="shared" si="0"/>
        <v>0.359508262004568</v>
      </c>
      <c r="N12" s="3">
        <f t="shared" si="0"/>
        <v>0.347786957782853</v>
      </c>
      <c r="O12" s="3">
        <f t="shared" si="0"/>
        <v>0.336065653561139</v>
      </c>
      <c r="P12" s="3">
        <f t="shared" si="0"/>
        <v>0.324344349339424</v>
      </c>
      <c r="Q12" s="3">
        <f t="shared" si="0"/>
        <v>0.316814296438054</v>
      </c>
      <c r="R12" s="3">
        <f t="shared" si="0"/>
        <v>0.309284243536683</v>
      </c>
      <c r="S12" s="3">
        <f t="shared" si="0"/>
        <v>0.301754190635312</v>
      </c>
      <c r="T12" s="3">
        <f t="shared" si="0"/>
        <v>0.294224137733942</v>
      </c>
      <c r="U12" s="3">
        <f t="shared" si="0"/>
        <v>0.286694084832571</v>
      </c>
      <c r="V12" s="3">
        <f t="shared" si="0"/>
        <v>0.277506458211686</v>
      </c>
      <c r="W12" s="3">
        <f t="shared" si="0"/>
        <v>0.268318831590801</v>
      </c>
      <c r="X12" s="3">
        <f t="shared" si="0"/>
        <v>0.259131204969916</v>
      </c>
      <c r="Y12" s="3">
        <f t="shared" si="0"/>
        <v>0.24994357834903</v>
      </c>
      <c r="Z12" s="3">
        <f t="shared" si="0"/>
        <v>0.240755951728145</v>
      </c>
      <c r="AA12" s="3">
        <f t="shared" si="0"/>
        <v>0.233804750909716</v>
      </c>
      <c r="AB12" s="3">
        <f t="shared" ref="AB12:AJ28" si="3">(($B12-$AJ$2)*((AB$2-$AJ$2)/($B$2-$AJ$2)))+$AJ$2</f>
        <v>0.226853550091287</v>
      </c>
      <c r="AC12" s="3">
        <f t="shared" si="3"/>
        <v>0.219902349272859</v>
      </c>
      <c r="AD12" s="3">
        <f t="shared" si="3"/>
        <v>0.21295114845443</v>
      </c>
      <c r="AE12" s="3">
        <f t="shared" si="3"/>
        <v>0.205999947636001</v>
      </c>
      <c r="AF12" s="3">
        <f t="shared" si="3"/>
        <v>0.176058214095749</v>
      </c>
      <c r="AG12" s="3">
        <f t="shared" si="3"/>
        <v>0.146116480555497</v>
      </c>
      <c r="AH12" s="3">
        <f t="shared" si="3"/>
        <v>0.116174747015245</v>
      </c>
      <c r="AI12" s="3">
        <f t="shared" si="3"/>
        <v>0.086233013474993</v>
      </c>
      <c r="AJ12" s="3">
        <f t="shared" si="3"/>
        <v>0.0562912799347411</v>
      </c>
    </row>
    <row r="13" spans="1:36">
      <c r="A13" t="str">
        <f>"semis_archetype_"&amp;TEXT(ROUND(Table269[[#This Row],[2016]],3),"0.000")</f>
        <v>semis_archetype_0.460</v>
      </c>
      <c r="B13" s="3">
        <f t="shared" si="2"/>
        <v>0.46</v>
      </c>
      <c r="C13" s="3">
        <f t="shared" si="1"/>
        <v>0.46</v>
      </c>
      <c r="D13" s="3">
        <f t="shared" si="1"/>
        <v>0.46</v>
      </c>
      <c r="E13" s="3">
        <f t="shared" si="1"/>
        <v>0.448422090127932</v>
      </c>
      <c r="F13" s="3">
        <f t="shared" si="1"/>
        <v>0.436844180255864</v>
      </c>
      <c r="G13" s="3">
        <f t="shared" si="1"/>
        <v>0.425266270383795</v>
      </c>
      <c r="H13" s="3">
        <f t="shared" si="1"/>
        <v>0.413688360511727</v>
      </c>
      <c r="I13" s="3">
        <f t="shared" si="1"/>
        <v>0.402110450639659</v>
      </c>
      <c r="J13" s="3">
        <f t="shared" si="1"/>
        <v>0.39053254076759</v>
      </c>
      <c r="K13" s="3">
        <f t="shared" si="1"/>
        <v>0.378954630895522</v>
      </c>
      <c r="L13" s="3">
        <f t="shared" si="1"/>
        <v>0.367376721023454</v>
      </c>
      <c r="M13" s="3">
        <f t="shared" si="1"/>
        <v>0.355798811151386</v>
      </c>
      <c r="N13" s="3">
        <f t="shared" si="1"/>
        <v>0.344220901279317</v>
      </c>
      <c r="O13" s="3">
        <f t="shared" si="1"/>
        <v>0.332642991407249</v>
      </c>
      <c r="P13" s="3">
        <f t="shared" si="1"/>
        <v>0.321065081535181</v>
      </c>
      <c r="Q13" s="3">
        <f t="shared" si="1"/>
        <v>0.31362714867593</v>
      </c>
      <c r="R13" s="3">
        <f t="shared" si="1"/>
        <v>0.306189215816678</v>
      </c>
      <c r="S13" s="3">
        <f t="shared" ref="S13:AH29" si="4">(($B13-$AJ$2)*((S$2-$AJ$2)/($B$2-$AJ$2)))+$AJ$2</f>
        <v>0.298751282957426</v>
      </c>
      <c r="T13" s="3">
        <f t="shared" si="4"/>
        <v>0.291313350098175</v>
      </c>
      <c r="U13" s="3">
        <f t="shared" si="4"/>
        <v>0.283875417238923</v>
      </c>
      <c r="V13" s="3">
        <f t="shared" si="4"/>
        <v>0.27480018883919</v>
      </c>
      <c r="W13" s="3">
        <f t="shared" si="4"/>
        <v>0.265724960439456</v>
      </c>
      <c r="X13" s="3">
        <f t="shared" si="4"/>
        <v>0.256649732039722</v>
      </c>
      <c r="Y13" s="3">
        <f t="shared" si="4"/>
        <v>0.247574503639989</v>
      </c>
      <c r="Z13" s="3">
        <f t="shared" si="4"/>
        <v>0.238499275240255</v>
      </c>
      <c r="AA13" s="3">
        <f t="shared" si="4"/>
        <v>0.231633112989358</v>
      </c>
      <c r="AB13" s="3">
        <f t="shared" si="4"/>
        <v>0.224766950738461</v>
      </c>
      <c r="AC13" s="3">
        <f t="shared" si="4"/>
        <v>0.217900788487564</v>
      </c>
      <c r="AD13" s="3">
        <f t="shared" si="4"/>
        <v>0.211034626236667</v>
      </c>
      <c r="AE13" s="3">
        <f t="shared" si="4"/>
        <v>0.20416846398577</v>
      </c>
      <c r="AF13" s="3">
        <f t="shared" si="4"/>
        <v>0.174593027175564</v>
      </c>
      <c r="AG13" s="3">
        <f t="shared" si="4"/>
        <v>0.145017590365358</v>
      </c>
      <c r="AH13" s="3">
        <f t="shared" si="4"/>
        <v>0.115442153555153</v>
      </c>
      <c r="AI13" s="3">
        <f t="shared" si="3"/>
        <v>0.0858667167449468</v>
      </c>
      <c r="AJ13" s="3">
        <f t="shared" si="3"/>
        <v>0.0562912799347411</v>
      </c>
    </row>
    <row r="14" spans="1:36">
      <c r="A14" t="str">
        <f>"semis_archetype_"&amp;TEXT(ROUND(Table269[[#This Row],[2016]],3),"0.000")</f>
        <v>semis_archetype_0.455</v>
      </c>
      <c r="B14" s="3">
        <f t="shared" si="2"/>
        <v>0.455</v>
      </c>
      <c r="C14" s="3">
        <f t="shared" si="1"/>
        <v>0.455</v>
      </c>
      <c r="D14" s="3">
        <f t="shared" si="1"/>
        <v>0.455</v>
      </c>
      <c r="E14" s="3">
        <f t="shared" si="1"/>
        <v>0.443565484477578</v>
      </c>
      <c r="F14" s="3">
        <f t="shared" si="1"/>
        <v>0.432130968955157</v>
      </c>
      <c r="G14" s="3">
        <f t="shared" si="1"/>
        <v>0.420696453432734</v>
      </c>
      <c r="H14" s="3">
        <f t="shared" si="1"/>
        <v>0.409261937910313</v>
      </c>
      <c r="I14" s="3">
        <f t="shared" si="1"/>
        <v>0.397827422387891</v>
      </c>
      <c r="J14" s="3">
        <f t="shared" si="1"/>
        <v>0.386392906865469</v>
      </c>
      <c r="K14" s="3">
        <f t="shared" si="1"/>
        <v>0.374958391343047</v>
      </c>
      <c r="L14" s="3">
        <f t="shared" si="1"/>
        <v>0.363523875820625</v>
      </c>
      <c r="M14" s="3">
        <f t="shared" si="1"/>
        <v>0.352089360298203</v>
      </c>
      <c r="N14" s="3">
        <f t="shared" si="1"/>
        <v>0.340654844775782</v>
      </c>
      <c r="O14" s="3">
        <f t="shared" si="1"/>
        <v>0.32922032925336</v>
      </c>
      <c r="P14" s="3">
        <f t="shared" si="1"/>
        <v>0.317785813730938</v>
      </c>
      <c r="Q14" s="3">
        <f t="shared" si="1"/>
        <v>0.310440000913806</v>
      </c>
      <c r="R14" s="3">
        <f t="shared" si="1"/>
        <v>0.303094188096673</v>
      </c>
      <c r="S14" s="3">
        <f t="shared" si="4"/>
        <v>0.295748375279541</v>
      </c>
      <c r="T14" s="3">
        <f t="shared" si="4"/>
        <v>0.288402562462408</v>
      </c>
      <c r="U14" s="3">
        <f t="shared" si="4"/>
        <v>0.281056749645276</v>
      </c>
      <c r="V14" s="3">
        <f t="shared" si="4"/>
        <v>0.272093919466693</v>
      </c>
      <c r="W14" s="3">
        <f t="shared" si="4"/>
        <v>0.263131089288111</v>
      </c>
      <c r="X14" s="3">
        <f t="shared" si="4"/>
        <v>0.254168259109529</v>
      </c>
      <c r="Y14" s="3">
        <f t="shared" si="4"/>
        <v>0.245205428930947</v>
      </c>
      <c r="Z14" s="3">
        <f t="shared" si="4"/>
        <v>0.236242598752365</v>
      </c>
      <c r="AA14" s="3">
        <f t="shared" si="4"/>
        <v>0.229461475069</v>
      </c>
      <c r="AB14" s="3">
        <f t="shared" si="4"/>
        <v>0.222680351385634</v>
      </c>
      <c r="AC14" s="3">
        <f t="shared" si="4"/>
        <v>0.215899227702269</v>
      </c>
      <c r="AD14" s="3">
        <f t="shared" si="4"/>
        <v>0.209118104018904</v>
      </c>
      <c r="AE14" s="3">
        <f t="shared" si="4"/>
        <v>0.202336980335539</v>
      </c>
      <c r="AF14" s="3">
        <f t="shared" si="4"/>
        <v>0.173127840255379</v>
      </c>
      <c r="AG14" s="3">
        <f t="shared" si="4"/>
        <v>0.14391870017522</v>
      </c>
      <c r="AH14" s="3">
        <f t="shared" si="4"/>
        <v>0.11470956009506</v>
      </c>
      <c r="AI14" s="3">
        <f t="shared" si="3"/>
        <v>0.0855004200149006</v>
      </c>
      <c r="AJ14" s="3">
        <f t="shared" si="3"/>
        <v>0.0562912799347411</v>
      </c>
    </row>
    <row r="15" spans="1:36">
      <c r="A15" t="str">
        <f>"semis_archetype_"&amp;TEXT(ROUND(Table269[[#This Row],[2016]],3),"0.000")</f>
        <v>semis_archetype_0.450</v>
      </c>
      <c r="B15" s="3">
        <f t="shared" si="2"/>
        <v>0.45</v>
      </c>
      <c r="C15" s="3">
        <f t="shared" si="1"/>
        <v>0.45</v>
      </c>
      <c r="D15" s="3">
        <f t="shared" si="1"/>
        <v>0.45</v>
      </c>
      <c r="E15" s="3">
        <f t="shared" si="1"/>
        <v>0.438708878827225</v>
      </c>
      <c r="F15" s="3">
        <f t="shared" si="1"/>
        <v>0.42741775765445</v>
      </c>
      <c r="G15" s="3">
        <f t="shared" si="1"/>
        <v>0.416126636481674</v>
      </c>
      <c r="H15" s="3">
        <f t="shared" si="1"/>
        <v>0.404835515308898</v>
      </c>
      <c r="I15" s="3">
        <f t="shared" si="1"/>
        <v>0.393544394136123</v>
      </c>
      <c r="J15" s="3">
        <f t="shared" si="1"/>
        <v>0.382253272963347</v>
      </c>
      <c r="K15" s="3">
        <f t="shared" si="1"/>
        <v>0.370962151790572</v>
      </c>
      <c r="L15" s="3">
        <f t="shared" si="1"/>
        <v>0.359671030617796</v>
      </c>
      <c r="M15" s="3">
        <f t="shared" si="1"/>
        <v>0.348379909445021</v>
      </c>
      <c r="N15" s="3">
        <f t="shared" si="1"/>
        <v>0.337088788272246</v>
      </c>
      <c r="O15" s="3">
        <f t="shared" si="1"/>
        <v>0.32579766709947</v>
      </c>
      <c r="P15" s="3">
        <f t="shared" si="1"/>
        <v>0.314506545926695</v>
      </c>
      <c r="Q15" s="3">
        <f t="shared" si="1"/>
        <v>0.307252853151682</v>
      </c>
      <c r="R15" s="3">
        <f t="shared" si="1"/>
        <v>0.299999160376668</v>
      </c>
      <c r="S15" s="3">
        <f t="shared" si="4"/>
        <v>0.292745467601655</v>
      </c>
      <c r="T15" s="3">
        <f t="shared" si="4"/>
        <v>0.285491774826641</v>
      </c>
      <c r="U15" s="3">
        <f t="shared" si="4"/>
        <v>0.278238082051628</v>
      </c>
      <c r="V15" s="3">
        <f t="shared" si="4"/>
        <v>0.269387650094197</v>
      </c>
      <c r="W15" s="3">
        <f t="shared" si="4"/>
        <v>0.260537218136767</v>
      </c>
      <c r="X15" s="3">
        <f t="shared" si="4"/>
        <v>0.251686786179336</v>
      </c>
      <c r="Y15" s="3">
        <f t="shared" si="4"/>
        <v>0.242836354221905</v>
      </c>
      <c r="Z15" s="3">
        <f t="shared" si="4"/>
        <v>0.233985922264474</v>
      </c>
      <c r="AA15" s="3">
        <f t="shared" si="4"/>
        <v>0.227289837148641</v>
      </c>
      <c r="AB15" s="3">
        <f t="shared" si="4"/>
        <v>0.220593752032808</v>
      </c>
      <c r="AC15" s="3">
        <f t="shared" si="4"/>
        <v>0.213897666916975</v>
      </c>
      <c r="AD15" s="3">
        <f t="shared" si="4"/>
        <v>0.207201581801141</v>
      </c>
      <c r="AE15" s="3">
        <f t="shared" si="4"/>
        <v>0.200505496685308</v>
      </c>
      <c r="AF15" s="3">
        <f t="shared" si="4"/>
        <v>0.171662653335195</v>
      </c>
      <c r="AG15" s="3">
        <f t="shared" si="4"/>
        <v>0.142819809985081</v>
      </c>
      <c r="AH15" s="3">
        <f t="shared" si="4"/>
        <v>0.113976966634968</v>
      </c>
      <c r="AI15" s="3">
        <f t="shared" si="3"/>
        <v>0.0851341232848545</v>
      </c>
      <c r="AJ15" s="3">
        <f t="shared" si="3"/>
        <v>0.0562912799347411</v>
      </c>
    </row>
    <row r="16" spans="1:36">
      <c r="A16" t="str">
        <f>"semis_archetype_"&amp;TEXT(ROUND(Table269[[#This Row],[2016]],3),"0.000")</f>
        <v>semis_archetype_0.445</v>
      </c>
      <c r="B16" s="3">
        <f t="shared" si="2"/>
        <v>0.445</v>
      </c>
      <c r="C16" s="3">
        <f t="shared" si="1"/>
        <v>0.445</v>
      </c>
      <c r="D16" s="3">
        <f t="shared" si="1"/>
        <v>0.445</v>
      </c>
      <c r="E16" s="3">
        <f t="shared" si="1"/>
        <v>0.433852273176871</v>
      </c>
      <c r="F16" s="3">
        <f t="shared" si="1"/>
        <v>0.422704546353743</v>
      </c>
      <c r="G16" s="3">
        <f t="shared" si="1"/>
        <v>0.411556819530613</v>
      </c>
      <c r="H16" s="3">
        <f t="shared" si="1"/>
        <v>0.400409092707484</v>
      </c>
      <c r="I16" s="3">
        <f t="shared" si="1"/>
        <v>0.389261365884355</v>
      </c>
      <c r="J16" s="3">
        <f t="shared" si="1"/>
        <v>0.378113639061226</v>
      </c>
      <c r="K16" s="3">
        <f t="shared" si="1"/>
        <v>0.366965912238097</v>
      </c>
      <c r="L16" s="3">
        <f t="shared" si="1"/>
        <v>0.355818185414968</v>
      </c>
      <c r="M16" s="3">
        <f t="shared" si="1"/>
        <v>0.344670458591839</v>
      </c>
      <c r="N16" s="3">
        <f t="shared" si="1"/>
        <v>0.33352273176871</v>
      </c>
      <c r="O16" s="3">
        <f t="shared" si="1"/>
        <v>0.322375004945581</v>
      </c>
      <c r="P16" s="3">
        <f t="shared" si="1"/>
        <v>0.311227278122452</v>
      </c>
      <c r="Q16" s="3">
        <f t="shared" si="1"/>
        <v>0.304065705389558</v>
      </c>
      <c r="R16" s="3">
        <f t="shared" si="1"/>
        <v>0.296904132656663</v>
      </c>
      <c r="S16" s="3">
        <f t="shared" si="4"/>
        <v>0.289742559923769</v>
      </c>
      <c r="T16" s="3">
        <f t="shared" si="4"/>
        <v>0.282580987190875</v>
      </c>
      <c r="U16" s="3">
        <f t="shared" si="4"/>
        <v>0.27541941445798</v>
      </c>
      <c r="V16" s="3">
        <f t="shared" si="4"/>
        <v>0.266681380721701</v>
      </c>
      <c r="W16" s="3">
        <f t="shared" si="4"/>
        <v>0.257943346985422</v>
      </c>
      <c r="X16" s="3">
        <f t="shared" si="4"/>
        <v>0.249205313249143</v>
      </c>
      <c r="Y16" s="3">
        <f t="shared" si="4"/>
        <v>0.240467279512863</v>
      </c>
      <c r="Z16" s="3">
        <f t="shared" si="4"/>
        <v>0.231729245776584</v>
      </c>
      <c r="AA16" s="3">
        <f t="shared" si="4"/>
        <v>0.225118199228283</v>
      </c>
      <c r="AB16" s="3">
        <f t="shared" si="4"/>
        <v>0.218507152679981</v>
      </c>
      <c r="AC16" s="3">
        <f t="shared" si="4"/>
        <v>0.21189610613168</v>
      </c>
      <c r="AD16" s="3">
        <f t="shared" si="4"/>
        <v>0.205285059583379</v>
      </c>
      <c r="AE16" s="3">
        <f t="shared" si="4"/>
        <v>0.198674013035077</v>
      </c>
      <c r="AF16" s="3">
        <f t="shared" si="4"/>
        <v>0.17019746641501</v>
      </c>
      <c r="AG16" s="3">
        <f t="shared" si="4"/>
        <v>0.141720919794943</v>
      </c>
      <c r="AH16" s="3">
        <f t="shared" si="4"/>
        <v>0.113244373174876</v>
      </c>
      <c r="AI16" s="3">
        <f t="shared" si="3"/>
        <v>0.0847678265548083</v>
      </c>
      <c r="AJ16" s="3">
        <f t="shared" si="3"/>
        <v>0.0562912799347411</v>
      </c>
    </row>
    <row r="17" spans="1:36">
      <c r="A17" t="str">
        <f>"semis_archetype_"&amp;TEXT(ROUND(Table269[[#This Row],[2016]],3),"0.000")</f>
        <v>semis_archetype_0.440</v>
      </c>
      <c r="B17" s="3">
        <f t="shared" si="2"/>
        <v>0.44</v>
      </c>
      <c r="C17" s="3">
        <f t="shared" si="1"/>
        <v>0.44</v>
      </c>
      <c r="D17" s="3">
        <f t="shared" si="1"/>
        <v>0.44</v>
      </c>
      <c r="E17" s="3">
        <f t="shared" si="1"/>
        <v>0.428995667526517</v>
      </c>
      <c r="F17" s="3">
        <f t="shared" si="1"/>
        <v>0.417991335053035</v>
      </c>
      <c r="G17" s="3">
        <f t="shared" si="1"/>
        <v>0.406987002579552</v>
      </c>
      <c r="H17" s="3">
        <f t="shared" si="1"/>
        <v>0.395982670106069</v>
      </c>
      <c r="I17" s="3">
        <f t="shared" si="1"/>
        <v>0.384978337632587</v>
      </c>
      <c r="J17" s="3">
        <f t="shared" si="1"/>
        <v>0.373974005159104</v>
      </c>
      <c r="K17" s="3">
        <f t="shared" si="1"/>
        <v>0.362969672685622</v>
      </c>
      <c r="L17" s="3">
        <f t="shared" si="1"/>
        <v>0.351965340212139</v>
      </c>
      <c r="M17" s="3">
        <f t="shared" si="1"/>
        <v>0.340961007738656</v>
      </c>
      <c r="N17" s="3">
        <f t="shared" si="1"/>
        <v>0.329956675265174</v>
      </c>
      <c r="O17" s="3">
        <f t="shared" si="1"/>
        <v>0.318952342791691</v>
      </c>
      <c r="P17" s="3">
        <f t="shared" si="1"/>
        <v>0.307948010318209</v>
      </c>
      <c r="Q17" s="3">
        <f t="shared" si="1"/>
        <v>0.300878557627434</v>
      </c>
      <c r="R17" s="3">
        <f t="shared" si="1"/>
        <v>0.293809104936658</v>
      </c>
      <c r="S17" s="3">
        <f t="shared" si="4"/>
        <v>0.286739652245883</v>
      </c>
      <c r="T17" s="3">
        <f t="shared" si="4"/>
        <v>0.279670199555108</v>
      </c>
      <c r="U17" s="3">
        <f t="shared" si="4"/>
        <v>0.272600746864333</v>
      </c>
      <c r="V17" s="3">
        <f t="shared" si="4"/>
        <v>0.263975111349205</v>
      </c>
      <c r="W17" s="3">
        <f t="shared" si="4"/>
        <v>0.255349475834077</v>
      </c>
      <c r="X17" s="3">
        <f t="shared" si="4"/>
        <v>0.246723840318949</v>
      </c>
      <c r="Y17" s="3">
        <f t="shared" si="4"/>
        <v>0.238098204803821</v>
      </c>
      <c r="Z17" s="3">
        <f t="shared" si="4"/>
        <v>0.229472569288694</v>
      </c>
      <c r="AA17" s="3">
        <f t="shared" si="4"/>
        <v>0.222946561307924</v>
      </c>
      <c r="AB17" s="3">
        <f t="shared" si="4"/>
        <v>0.216420553327155</v>
      </c>
      <c r="AC17" s="3">
        <f t="shared" si="4"/>
        <v>0.209894545346385</v>
      </c>
      <c r="AD17" s="3">
        <f t="shared" si="4"/>
        <v>0.203368537365616</v>
      </c>
      <c r="AE17" s="3">
        <f t="shared" si="4"/>
        <v>0.196842529384846</v>
      </c>
      <c r="AF17" s="3">
        <f t="shared" si="4"/>
        <v>0.168732279494825</v>
      </c>
      <c r="AG17" s="3">
        <f t="shared" si="4"/>
        <v>0.140622029604804</v>
      </c>
      <c r="AH17" s="3">
        <f t="shared" si="4"/>
        <v>0.112511779714783</v>
      </c>
      <c r="AI17" s="3">
        <f t="shared" si="3"/>
        <v>0.0844015298247621</v>
      </c>
      <c r="AJ17" s="3">
        <f t="shared" si="3"/>
        <v>0.0562912799347411</v>
      </c>
    </row>
    <row r="18" spans="1:36">
      <c r="A18" t="str">
        <f>"semis_archetype_"&amp;TEXT(ROUND(Table269[[#This Row],[2016]],3),"0.000")</f>
        <v>semis_archetype_0.435</v>
      </c>
      <c r="B18" s="3">
        <f t="shared" si="2"/>
        <v>0.435</v>
      </c>
      <c r="C18" s="3">
        <f t="shared" si="1"/>
        <v>0.435</v>
      </c>
      <c r="D18" s="3">
        <f t="shared" si="1"/>
        <v>0.435</v>
      </c>
      <c r="E18" s="3">
        <f t="shared" si="1"/>
        <v>0.424139061876164</v>
      </c>
      <c r="F18" s="3">
        <f t="shared" si="1"/>
        <v>0.413278123752328</v>
      </c>
      <c r="G18" s="3">
        <f t="shared" si="1"/>
        <v>0.402417185628491</v>
      </c>
      <c r="H18" s="3">
        <f t="shared" si="1"/>
        <v>0.391556247504655</v>
      </c>
      <c r="I18" s="3">
        <f t="shared" si="1"/>
        <v>0.380695309380819</v>
      </c>
      <c r="J18" s="3">
        <f t="shared" si="1"/>
        <v>0.369834371256983</v>
      </c>
      <c r="K18" s="3">
        <f t="shared" si="1"/>
        <v>0.358973433133146</v>
      </c>
      <c r="L18" s="3">
        <f t="shared" si="1"/>
        <v>0.34811249500931</v>
      </c>
      <c r="M18" s="3">
        <f t="shared" si="1"/>
        <v>0.337251556885474</v>
      </c>
      <c r="N18" s="3">
        <f t="shared" si="1"/>
        <v>0.326390618761638</v>
      </c>
      <c r="O18" s="3">
        <f t="shared" si="1"/>
        <v>0.315529680637802</v>
      </c>
      <c r="P18" s="3">
        <f t="shared" si="1"/>
        <v>0.304668742513966</v>
      </c>
      <c r="Q18" s="3">
        <f t="shared" si="1"/>
        <v>0.29769140986531</v>
      </c>
      <c r="R18" s="3">
        <f t="shared" si="1"/>
        <v>0.290714077216653</v>
      </c>
      <c r="S18" s="3">
        <f t="shared" si="4"/>
        <v>0.283736744567997</v>
      </c>
      <c r="T18" s="3">
        <f t="shared" si="4"/>
        <v>0.276759411919341</v>
      </c>
      <c r="U18" s="3">
        <f t="shared" si="4"/>
        <v>0.269782079270685</v>
      </c>
      <c r="V18" s="3">
        <f t="shared" si="4"/>
        <v>0.261268841976709</v>
      </c>
      <c r="W18" s="3">
        <f t="shared" si="4"/>
        <v>0.252755604682732</v>
      </c>
      <c r="X18" s="3">
        <f t="shared" si="4"/>
        <v>0.244242367388756</v>
      </c>
      <c r="Y18" s="3">
        <f t="shared" si="4"/>
        <v>0.23572913009478</v>
      </c>
      <c r="Z18" s="3">
        <f t="shared" si="4"/>
        <v>0.227215892800803</v>
      </c>
      <c r="AA18" s="3">
        <f t="shared" si="4"/>
        <v>0.220774923387566</v>
      </c>
      <c r="AB18" s="3">
        <f t="shared" si="4"/>
        <v>0.214333953974328</v>
      </c>
      <c r="AC18" s="3">
        <f t="shared" si="4"/>
        <v>0.207892984561091</v>
      </c>
      <c r="AD18" s="3">
        <f t="shared" si="4"/>
        <v>0.201452015147853</v>
      </c>
      <c r="AE18" s="3">
        <f t="shared" si="4"/>
        <v>0.195011045734616</v>
      </c>
      <c r="AF18" s="3">
        <f t="shared" si="4"/>
        <v>0.167267092574641</v>
      </c>
      <c r="AG18" s="3">
        <f t="shared" si="4"/>
        <v>0.139523139414666</v>
      </c>
      <c r="AH18" s="3">
        <f t="shared" si="4"/>
        <v>0.111779186254691</v>
      </c>
      <c r="AI18" s="3">
        <f t="shared" si="3"/>
        <v>0.084035233094716</v>
      </c>
      <c r="AJ18" s="3">
        <f t="shared" si="3"/>
        <v>0.0562912799347411</v>
      </c>
    </row>
    <row r="19" spans="1:36">
      <c r="A19" t="str">
        <f>"semis_archetype_"&amp;TEXT(ROUND(Table269[[#This Row],[2016]],3),"0.000")</f>
        <v>semis_archetype_0.430</v>
      </c>
      <c r="B19" s="3">
        <f t="shared" si="2"/>
        <v>0.43</v>
      </c>
      <c r="C19" s="3">
        <f t="shared" si="1"/>
        <v>0.43</v>
      </c>
      <c r="D19" s="3">
        <f t="shared" si="1"/>
        <v>0.43</v>
      </c>
      <c r="E19" s="3">
        <f t="shared" si="1"/>
        <v>0.41928245622581</v>
      </c>
      <c r="F19" s="3">
        <f t="shared" si="1"/>
        <v>0.408564912451621</v>
      </c>
      <c r="G19" s="3">
        <f t="shared" si="1"/>
        <v>0.397847368677431</v>
      </c>
      <c r="H19" s="3">
        <f t="shared" si="1"/>
        <v>0.387129824903241</v>
      </c>
      <c r="I19" s="3">
        <f t="shared" si="1"/>
        <v>0.376412281129051</v>
      </c>
      <c r="J19" s="3">
        <f t="shared" si="1"/>
        <v>0.365694737354861</v>
      </c>
      <c r="K19" s="3">
        <f t="shared" si="1"/>
        <v>0.354977193580671</v>
      </c>
      <c r="L19" s="3">
        <f t="shared" si="1"/>
        <v>0.344259649806481</v>
      </c>
      <c r="M19" s="3">
        <f t="shared" si="1"/>
        <v>0.333542106032292</v>
      </c>
      <c r="N19" s="3">
        <f t="shared" si="1"/>
        <v>0.322824562258102</v>
      </c>
      <c r="O19" s="3">
        <f t="shared" si="1"/>
        <v>0.312107018483912</v>
      </c>
      <c r="P19" s="3">
        <f t="shared" si="1"/>
        <v>0.301389474709722</v>
      </c>
      <c r="Q19" s="3">
        <f t="shared" si="1"/>
        <v>0.294504262103185</v>
      </c>
      <c r="R19" s="3">
        <f t="shared" si="1"/>
        <v>0.287619049496649</v>
      </c>
      <c r="S19" s="3">
        <f t="shared" si="4"/>
        <v>0.280733836890112</v>
      </c>
      <c r="T19" s="3">
        <f t="shared" si="4"/>
        <v>0.273848624283575</v>
      </c>
      <c r="U19" s="3">
        <f t="shared" si="4"/>
        <v>0.266963411677037</v>
      </c>
      <c r="V19" s="3">
        <f t="shared" si="4"/>
        <v>0.258562572604213</v>
      </c>
      <c r="W19" s="3">
        <f t="shared" si="4"/>
        <v>0.250161733531388</v>
      </c>
      <c r="X19" s="3">
        <f t="shared" si="4"/>
        <v>0.241760894458563</v>
      </c>
      <c r="Y19" s="3">
        <f t="shared" si="4"/>
        <v>0.233360055385738</v>
      </c>
      <c r="Z19" s="3">
        <f t="shared" si="4"/>
        <v>0.224959216312913</v>
      </c>
      <c r="AA19" s="3">
        <f t="shared" si="4"/>
        <v>0.218603285467207</v>
      </c>
      <c r="AB19" s="3">
        <f t="shared" si="4"/>
        <v>0.212247354621502</v>
      </c>
      <c r="AC19" s="3">
        <f t="shared" si="4"/>
        <v>0.205891423775796</v>
      </c>
      <c r="AD19" s="3">
        <f t="shared" si="4"/>
        <v>0.19953549293009</v>
      </c>
      <c r="AE19" s="3">
        <f t="shared" si="4"/>
        <v>0.193179562084385</v>
      </c>
      <c r="AF19" s="3">
        <f t="shared" si="4"/>
        <v>0.165801905654456</v>
      </c>
      <c r="AG19" s="3">
        <f t="shared" si="4"/>
        <v>0.138424249224527</v>
      </c>
      <c r="AH19" s="3">
        <f t="shared" si="4"/>
        <v>0.111046592794599</v>
      </c>
      <c r="AI19" s="3">
        <f t="shared" si="3"/>
        <v>0.0836689363646698</v>
      </c>
      <c r="AJ19" s="3">
        <f t="shared" si="3"/>
        <v>0.0562912799347411</v>
      </c>
    </row>
    <row r="20" spans="1:36">
      <c r="A20" t="str">
        <f>"semis_archetype_"&amp;TEXT(ROUND(Table269[[#This Row],[2016]],3),"0.000")</f>
        <v>semis_archetype_0.425</v>
      </c>
      <c r="B20" s="3">
        <f t="shared" si="2"/>
        <v>0.425</v>
      </c>
      <c r="C20" s="3">
        <f t="shared" si="1"/>
        <v>0.425</v>
      </c>
      <c r="D20" s="3">
        <f t="shared" si="1"/>
        <v>0.425</v>
      </c>
      <c r="E20" s="3">
        <f t="shared" si="1"/>
        <v>0.414425850575457</v>
      </c>
      <c r="F20" s="3">
        <f t="shared" si="1"/>
        <v>0.403851701150914</v>
      </c>
      <c r="G20" s="3">
        <f t="shared" si="1"/>
        <v>0.39327755172637</v>
      </c>
      <c r="H20" s="3">
        <f t="shared" si="1"/>
        <v>0.382703402301826</v>
      </c>
      <c r="I20" s="3">
        <f t="shared" si="1"/>
        <v>0.372129252877283</v>
      </c>
      <c r="J20" s="3">
        <f t="shared" si="1"/>
        <v>0.36155510345274</v>
      </c>
      <c r="K20" s="3">
        <f t="shared" si="1"/>
        <v>0.350980954028196</v>
      </c>
      <c r="L20" s="3">
        <f t="shared" si="1"/>
        <v>0.340406804603653</v>
      </c>
      <c r="M20" s="3">
        <f t="shared" si="1"/>
        <v>0.329832655179109</v>
      </c>
      <c r="N20" s="3">
        <f t="shared" si="1"/>
        <v>0.319258505754566</v>
      </c>
      <c r="O20" s="3">
        <f t="shared" si="1"/>
        <v>0.308684356330023</v>
      </c>
      <c r="P20" s="3">
        <f t="shared" si="1"/>
        <v>0.298110206905479</v>
      </c>
      <c r="Q20" s="3">
        <f t="shared" si="1"/>
        <v>0.291317114341061</v>
      </c>
      <c r="R20" s="3">
        <f t="shared" si="1"/>
        <v>0.284524021776644</v>
      </c>
      <c r="S20" s="3">
        <f t="shared" si="4"/>
        <v>0.277730929212226</v>
      </c>
      <c r="T20" s="3">
        <f t="shared" si="4"/>
        <v>0.270937836647808</v>
      </c>
      <c r="U20" s="3">
        <f t="shared" si="4"/>
        <v>0.26414474408339</v>
      </c>
      <c r="V20" s="3">
        <f t="shared" si="4"/>
        <v>0.255856303231716</v>
      </c>
      <c r="W20" s="3">
        <f t="shared" si="4"/>
        <v>0.247567862380043</v>
      </c>
      <c r="X20" s="3">
        <f t="shared" si="4"/>
        <v>0.23927942152837</v>
      </c>
      <c r="Y20" s="3">
        <f t="shared" si="4"/>
        <v>0.230990980676696</v>
      </c>
      <c r="Z20" s="3">
        <f t="shared" si="4"/>
        <v>0.222702539825023</v>
      </c>
      <c r="AA20" s="3">
        <f t="shared" si="4"/>
        <v>0.216431647546849</v>
      </c>
      <c r="AB20" s="3">
        <f t="shared" si="4"/>
        <v>0.210160755268675</v>
      </c>
      <c r="AC20" s="3">
        <f t="shared" si="4"/>
        <v>0.203889862990501</v>
      </c>
      <c r="AD20" s="3">
        <f t="shared" si="4"/>
        <v>0.197618970712328</v>
      </c>
      <c r="AE20" s="3">
        <f t="shared" si="4"/>
        <v>0.191348078434154</v>
      </c>
      <c r="AF20" s="3">
        <f t="shared" si="4"/>
        <v>0.164336718734271</v>
      </c>
      <c r="AG20" s="3">
        <f t="shared" si="4"/>
        <v>0.137325359034389</v>
      </c>
      <c r="AH20" s="3">
        <f t="shared" si="4"/>
        <v>0.110313999334506</v>
      </c>
      <c r="AI20" s="3">
        <f t="shared" si="3"/>
        <v>0.0833026396346236</v>
      </c>
      <c r="AJ20" s="3">
        <f t="shared" si="3"/>
        <v>0.0562912799347411</v>
      </c>
    </row>
    <row r="21" spans="1:36">
      <c r="A21" t="str">
        <f>"semis_archetype_"&amp;TEXT(ROUND(Table269[[#This Row],[2016]],3),"0.000")</f>
        <v>semis_archetype_0.420</v>
      </c>
      <c r="B21" s="3">
        <f t="shared" si="2"/>
        <v>0.42</v>
      </c>
      <c r="C21" s="3">
        <f t="shared" si="1"/>
        <v>0.42</v>
      </c>
      <c r="D21" s="3">
        <f t="shared" si="1"/>
        <v>0.42</v>
      </c>
      <c r="E21" s="3">
        <f t="shared" si="1"/>
        <v>0.409569244925103</v>
      </c>
      <c r="F21" s="3">
        <f t="shared" si="1"/>
        <v>0.399138489850207</v>
      </c>
      <c r="G21" s="3">
        <f t="shared" si="1"/>
        <v>0.388707734775309</v>
      </c>
      <c r="H21" s="3">
        <f t="shared" si="1"/>
        <v>0.378276979700412</v>
      </c>
      <c r="I21" s="3">
        <f t="shared" si="1"/>
        <v>0.367846224625515</v>
      </c>
      <c r="J21" s="3">
        <f t="shared" si="1"/>
        <v>0.357415469550618</v>
      </c>
      <c r="K21" s="3">
        <f t="shared" si="1"/>
        <v>0.346984714475721</v>
      </c>
      <c r="L21" s="3">
        <f t="shared" si="1"/>
        <v>0.336553959400824</v>
      </c>
      <c r="M21" s="3">
        <f t="shared" si="1"/>
        <v>0.326123204325927</v>
      </c>
      <c r="N21" s="3">
        <f t="shared" si="1"/>
        <v>0.31569244925103</v>
      </c>
      <c r="O21" s="3">
        <f t="shared" si="1"/>
        <v>0.305261694176133</v>
      </c>
      <c r="P21" s="3">
        <f t="shared" si="1"/>
        <v>0.294830939101236</v>
      </c>
      <c r="Q21" s="3">
        <f t="shared" si="1"/>
        <v>0.288129966578937</v>
      </c>
      <c r="R21" s="3">
        <f t="shared" si="1"/>
        <v>0.281428994056639</v>
      </c>
      <c r="S21" s="3">
        <f t="shared" si="4"/>
        <v>0.27472802153434</v>
      </c>
      <c r="T21" s="3">
        <f t="shared" si="4"/>
        <v>0.268027049012041</v>
      </c>
      <c r="U21" s="3">
        <f t="shared" si="4"/>
        <v>0.261326076489742</v>
      </c>
      <c r="V21" s="3">
        <f t="shared" si="4"/>
        <v>0.25315003385922</v>
      </c>
      <c r="W21" s="3">
        <f t="shared" si="4"/>
        <v>0.244973991228698</v>
      </c>
      <c r="X21" s="3">
        <f t="shared" si="4"/>
        <v>0.236797948598176</v>
      </c>
      <c r="Y21" s="3">
        <f t="shared" si="4"/>
        <v>0.228621905967654</v>
      </c>
      <c r="Z21" s="3">
        <f t="shared" si="4"/>
        <v>0.220445863337132</v>
      </c>
      <c r="AA21" s="3">
        <f t="shared" si="4"/>
        <v>0.21426000962649</v>
      </c>
      <c r="AB21" s="3">
        <f t="shared" si="4"/>
        <v>0.208074155915849</v>
      </c>
      <c r="AC21" s="3">
        <f t="shared" si="4"/>
        <v>0.201888302205207</v>
      </c>
      <c r="AD21" s="3">
        <f t="shared" si="4"/>
        <v>0.195702448494565</v>
      </c>
      <c r="AE21" s="3">
        <f t="shared" si="4"/>
        <v>0.189516594783923</v>
      </c>
      <c r="AF21" s="3">
        <f t="shared" si="4"/>
        <v>0.162871531814087</v>
      </c>
      <c r="AG21" s="3">
        <f t="shared" si="4"/>
        <v>0.13622646884425</v>
      </c>
      <c r="AH21" s="3">
        <f t="shared" si="4"/>
        <v>0.109581405874414</v>
      </c>
      <c r="AI21" s="3">
        <f t="shared" si="3"/>
        <v>0.0829363429045775</v>
      </c>
      <c r="AJ21" s="3">
        <f t="shared" si="3"/>
        <v>0.0562912799347411</v>
      </c>
    </row>
    <row r="22" spans="1:36">
      <c r="A22" t="str">
        <f>"semis_archetype_"&amp;TEXT(ROUND(Table269[[#This Row],[2016]],3),"0.000")</f>
        <v>semis_archetype_0.415</v>
      </c>
      <c r="B22" s="3">
        <f t="shared" si="2"/>
        <v>0.415</v>
      </c>
      <c r="C22" s="3">
        <f t="shared" si="1"/>
        <v>0.415</v>
      </c>
      <c r="D22" s="3">
        <f t="shared" si="1"/>
        <v>0.415</v>
      </c>
      <c r="E22" s="3">
        <f t="shared" si="1"/>
        <v>0.404712639274749</v>
      </c>
      <c r="F22" s="3">
        <f t="shared" si="1"/>
        <v>0.394425278549499</v>
      </c>
      <c r="G22" s="3">
        <f t="shared" si="1"/>
        <v>0.384137917824248</v>
      </c>
      <c r="H22" s="3">
        <f t="shared" si="1"/>
        <v>0.373850557098998</v>
      </c>
      <c r="I22" s="3">
        <f t="shared" si="1"/>
        <v>0.363563196373747</v>
      </c>
      <c r="J22" s="3">
        <f t="shared" si="1"/>
        <v>0.353275835648497</v>
      </c>
      <c r="K22" s="3">
        <f t="shared" si="1"/>
        <v>0.342988474923246</v>
      </c>
      <c r="L22" s="3">
        <f t="shared" si="1"/>
        <v>0.332701114197995</v>
      </c>
      <c r="M22" s="3">
        <f t="shared" si="1"/>
        <v>0.322413753472745</v>
      </c>
      <c r="N22" s="3">
        <f t="shared" si="1"/>
        <v>0.312126392747494</v>
      </c>
      <c r="O22" s="3">
        <f t="shared" si="1"/>
        <v>0.301839032022244</v>
      </c>
      <c r="P22" s="3">
        <f t="shared" si="1"/>
        <v>0.291551671296993</v>
      </c>
      <c r="Q22" s="3">
        <f t="shared" si="1"/>
        <v>0.284942818816813</v>
      </c>
      <c r="R22" s="3">
        <f t="shared" si="1"/>
        <v>0.278333966336634</v>
      </c>
      <c r="S22" s="3">
        <f t="shared" si="4"/>
        <v>0.271725113856454</v>
      </c>
      <c r="T22" s="3">
        <f t="shared" si="4"/>
        <v>0.265116261376274</v>
      </c>
      <c r="U22" s="3">
        <f t="shared" si="4"/>
        <v>0.258507408896095</v>
      </c>
      <c r="V22" s="3">
        <f t="shared" si="4"/>
        <v>0.250443764486724</v>
      </c>
      <c r="W22" s="3">
        <f t="shared" si="4"/>
        <v>0.242380120077354</v>
      </c>
      <c r="X22" s="3">
        <f t="shared" si="4"/>
        <v>0.234316475667983</v>
      </c>
      <c r="Y22" s="3">
        <f t="shared" si="4"/>
        <v>0.226252831258613</v>
      </c>
      <c r="Z22" s="3">
        <f t="shared" si="4"/>
        <v>0.218189186849242</v>
      </c>
      <c r="AA22" s="3">
        <f t="shared" si="4"/>
        <v>0.212088371706132</v>
      </c>
      <c r="AB22" s="3">
        <f t="shared" si="4"/>
        <v>0.205987556563022</v>
      </c>
      <c r="AC22" s="3">
        <f t="shared" si="4"/>
        <v>0.199886741419912</v>
      </c>
      <c r="AD22" s="3">
        <f t="shared" si="4"/>
        <v>0.193785926276802</v>
      </c>
      <c r="AE22" s="3">
        <f t="shared" si="4"/>
        <v>0.187685111133692</v>
      </c>
      <c r="AF22" s="3">
        <f t="shared" si="4"/>
        <v>0.161406344893902</v>
      </c>
      <c r="AG22" s="3">
        <f t="shared" si="4"/>
        <v>0.135127578654112</v>
      </c>
      <c r="AH22" s="3">
        <f t="shared" si="4"/>
        <v>0.108848812414322</v>
      </c>
      <c r="AI22" s="3">
        <f t="shared" si="3"/>
        <v>0.0825700461745313</v>
      </c>
      <c r="AJ22" s="3">
        <f t="shared" si="3"/>
        <v>0.0562912799347411</v>
      </c>
    </row>
    <row r="23" spans="1:36">
      <c r="A23" t="str">
        <f>"semis_archetype_"&amp;TEXT(ROUND(Table269[[#This Row],[2016]],3),"0.000")</f>
        <v>semis_archetype_0.410</v>
      </c>
      <c r="B23" s="3">
        <f t="shared" si="2"/>
        <v>0.41</v>
      </c>
      <c r="C23" s="3">
        <f t="shared" si="1"/>
        <v>0.41</v>
      </c>
      <c r="D23" s="3">
        <f t="shared" si="1"/>
        <v>0.41</v>
      </c>
      <c r="E23" s="3">
        <f t="shared" si="1"/>
        <v>0.399856033624396</v>
      </c>
      <c r="F23" s="3">
        <f t="shared" si="1"/>
        <v>0.389712067248792</v>
      </c>
      <c r="G23" s="3">
        <f t="shared" si="1"/>
        <v>0.379568100873187</v>
      </c>
      <c r="H23" s="3">
        <f t="shared" si="1"/>
        <v>0.369424134497583</v>
      </c>
      <c r="I23" s="3">
        <f t="shared" si="1"/>
        <v>0.359280168121979</v>
      </c>
      <c r="J23" s="3">
        <f t="shared" si="1"/>
        <v>0.349136201746375</v>
      </c>
      <c r="K23" s="3">
        <f t="shared" si="1"/>
        <v>0.338992235370771</v>
      </c>
      <c r="L23" s="3">
        <f t="shared" si="1"/>
        <v>0.328848268995167</v>
      </c>
      <c r="M23" s="3">
        <f t="shared" si="1"/>
        <v>0.318704302619562</v>
      </c>
      <c r="N23" s="3">
        <f t="shared" si="1"/>
        <v>0.308560336243958</v>
      </c>
      <c r="O23" s="3">
        <f t="shared" si="1"/>
        <v>0.298416369868354</v>
      </c>
      <c r="P23" s="3">
        <f t="shared" si="1"/>
        <v>0.28827240349275</v>
      </c>
      <c r="Q23" s="3">
        <f t="shared" si="1"/>
        <v>0.281755671054689</v>
      </c>
      <c r="R23" s="3">
        <f t="shared" si="1"/>
        <v>0.275238938616629</v>
      </c>
      <c r="S23" s="3">
        <f t="shared" si="4"/>
        <v>0.268722206178568</v>
      </c>
      <c r="T23" s="3">
        <f t="shared" si="4"/>
        <v>0.262205473740508</v>
      </c>
      <c r="U23" s="3">
        <f t="shared" si="4"/>
        <v>0.255688741302447</v>
      </c>
      <c r="V23" s="3">
        <f t="shared" si="4"/>
        <v>0.247737495114228</v>
      </c>
      <c r="W23" s="3">
        <f t="shared" si="4"/>
        <v>0.239786248926009</v>
      </c>
      <c r="X23" s="3">
        <f t="shared" si="4"/>
        <v>0.23183500273779</v>
      </c>
      <c r="Y23" s="3">
        <f t="shared" si="4"/>
        <v>0.223883756549571</v>
      </c>
      <c r="Z23" s="3">
        <f t="shared" si="4"/>
        <v>0.215932510361352</v>
      </c>
      <c r="AA23" s="3">
        <f t="shared" si="4"/>
        <v>0.209916733785774</v>
      </c>
      <c r="AB23" s="3">
        <f t="shared" si="4"/>
        <v>0.203900957210196</v>
      </c>
      <c r="AC23" s="3">
        <f t="shared" si="4"/>
        <v>0.197885180634618</v>
      </c>
      <c r="AD23" s="3">
        <f t="shared" si="4"/>
        <v>0.19186940405904</v>
      </c>
      <c r="AE23" s="3">
        <f t="shared" si="4"/>
        <v>0.185853627483461</v>
      </c>
      <c r="AF23" s="3">
        <f t="shared" si="4"/>
        <v>0.159941157973717</v>
      </c>
      <c r="AG23" s="3">
        <f t="shared" si="4"/>
        <v>0.134028688463973</v>
      </c>
      <c r="AH23" s="3">
        <f t="shared" si="4"/>
        <v>0.108116218954229</v>
      </c>
      <c r="AI23" s="3">
        <f t="shared" si="3"/>
        <v>0.0822037494444851</v>
      </c>
      <c r="AJ23" s="3">
        <f t="shared" si="3"/>
        <v>0.0562912799347411</v>
      </c>
    </row>
    <row r="24" spans="1:36">
      <c r="A24" t="str">
        <f>"semis_archetype_"&amp;TEXT(ROUND(Table269[[#This Row],[2016]],3),"0.000")</f>
        <v>semis_archetype_0.405</v>
      </c>
      <c r="B24" s="3">
        <f t="shared" si="2"/>
        <v>0.405</v>
      </c>
      <c r="C24" s="3">
        <f t="shared" si="1"/>
        <v>0.405</v>
      </c>
      <c r="D24" s="3">
        <f t="shared" si="1"/>
        <v>0.405</v>
      </c>
      <c r="E24" s="3">
        <f t="shared" si="1"/>
        <v>0.394999427974042</v>
      </c>
      <c r="F24" s="3">
        <f t="shared" si="1"/>
        <v>0.384998855948085</v>
      </c>
      <c r="G24" s="3">
        <f t="shared" si="1"/>
        <v>0.374998283922127</v>
      </c>
      <c r="H24" s="3">
        <f t="shared" si="1"/>
        <v>0.364997711896169</v>
      </c>
      <c r="I24" s="3">
        <f t="shared" si="1"/>
        <v>0.354997139870211</v>
      </c>
      <c r="J24" s="3">
        <f t="shared" si="1"/>
        <v>0.344996567844253</v>
      </c>
      <c r="K24" s="3">
        <f t="shared" si="1"/>
        <v>0.334995995818296</v>
      </c>
      <c r="L24" s="3">
        <f t="shared" si="1"/>
        <v>0.324995423792338</v>
      </c>
      <c r="M24" s="3">
        <f t="shared" si="1"/>
        <v>0.31499485176638</v>
      </c>
      <c r="N24" s="3">
        <f t="shared" si="1"/>
        <v>0.304994279740422</v>
      </c>
      <c r="O24" s="3">
        <f t="shared" si="1"/>
        <v>0.294993707714465</v>
      </c>
      <c r="P24" s="3">
        <f t="shared" si="1"/>
        <v>0.284993135688507</v>
      </c>
      <c r="Q24" s="3">
        <f t="shared" si="1"/>
        <v>0.278568523292565</v>
      </c>
      <c r="R24" s="3">
        <f t="shared" si="1"/>
        <v>0.272143910896624</v>
      </c>
      <c r="S24" s="3">
        <f t="shared" si="4"/>
        <v>0.265719298500682</v>
      </c>
      <c r="T24" s="3">
        <f t="shared" si="4"/>
        <v>0.259294686104741</v>
      </c>
      <c r="U24" s="3">
        <f t="shared" si="4"/>
        <v>0.252870073708799</v>
      </c>
      <c r="V24" s="3">
        <f t="shared" si="4"/>
        <v>0.245031225741732</v>
      </c>
      <c r="W24" s="3">
        <f t="shared" si="4"/>
        <v>0.237192377774664</v>
      </c>
      <c r="X24" s="3">
        <f t="shared" si="4"/>
        <v>0.229353529807597</v>
      </c>
      <c r="Y24" s="3">
        <f t="shared" si="4"/>
        <v>0.221514681840529</v>
      </c>
      <c r="Z24" s="3">
        <f t="shared" si="4"/>
        <v>0.213675833873461</v>
      </c>
      <c r="AA24" s="3">
        <f t="shared" si="4"/>
        <v>0.207745095865415</v>
      </c>
      <c r="AB24" s="3">
        <f t="shared" si="4"/>
        <v>0.201814357857369</v>
      </c>
      <c r="AC24" s="3">
        <f t="shared" si="4"/>
        <v>0.195883619849323</v>
      </c>
      <c r="AD24" s="3">
        <f t="shared" si="4"/>
        <v>0.189952881841277</v>
      </c>
      <c r="AE24" s="3">
        <f t="shared" si="4"/>
        <v>0.184022143833231</v>
      </c>
      <c r="AF24" s="3">
        <f t="shared" si="4"/>
        <v>0.158475971053533</v>
      </c>
      <c r="AG24" s="3">
        <f t="shared" si="4"/>
        <v>0.132929798273835</v>
      </c>
      <c r="AH24" s="3">
        <f t="shared" si="4"/>
        <v>0.107383625494137</v>
      </c>
      <c r="AI24" s="3">
        <f t="shared" si="3"/>
        <v>0.081837452714439</v>
      </c>
      <c r="AJ24" s="3">
        <f t="shared" si="3"/>
        <v>0.0562912799347411</v>
      </c>
    </row>
    <row r="25" spans="1:36">
      <c r="A25" t="str">
        <f>"semis_archetype_"&amp;TEXT(ROUND(Table269[[#This Row],[2016]],3),"0.000")</f>
        <v>semis_archetype_0.400</v>
      </c>
      <c r="B25" s="3">
        <f t="shared" si="2"/>
        <v>0.4</v>
      </c>
      <c r="C25" s="3">
        <f t="shared" si="1"/>
        <v>0.4</v>
      </c>
      <c r="D25" s="3">
        <f t="shared" si="1"/>
        <v>0.4</v>
      </c>
      <c r="E25" s="3">
        <f t="shared" si="1"/>
        <v>0.390142822323689</v>
      </c>
      <c r="F25" s="3">
        <f t="shared" si="1"/>
        <v>0.380285644647378</v>
      </c>
      <c r="G25" s="3">
        <f t="shared" si="1"/>
        <v>0.370428466971066</v>
      </c>
      <c r="H25" s="3">
        <f t="shared" si="1"/>
        <v>0.360571289294755</v>
      </c>
      <c r="I25" s="3">
        <f t="shared" si="1"/>
        <v>0.350714111618443</v>
      </c>
      <c r="J25" s="3">
        <f t="shared" si="1"/>
        <v>0.340856933942132</v>
      </c>
      <c r="K25" s="3">
        <f t="shared" si="1"/>
        <v>0.33099975626582</v>
      </c>
      <c r="L25" s="3">
        <f t="shared" si="1"/>
        <v>0.321142578589509</v>
      </c>
      <c r="M25" s="3">
        <f t="shared" si="1"/>
        <v>0.311285400913198</v>
      </c>
      <c r="N25" s="3">
        <f t="shared" si="1"/>
        <v>0.301428223236886</v>
      </c>
      <c r="O25" s="3">
        <f t="shared" si="1"/>
        <v>0.291571045560575</v>
      </c>
      <c r="P25" s="3">
        <f t="shared" si="1"/>
        <v>0.281713867884264</v>
      </c>
      <c r="Q25" s="3">
        <f t="shared" si="1"/>
        <v>0.275381375530441</v>
      </c>
      <c r="R25" s="3">
        <f t="shared" si="1"/>
        <v>0.269048883176619</v>
      </c>
      <c r="S25" s="3">
        <f t="shared" si="4"/>
        <v>0.262716390822797</v>
      </c>
      <c r="T25" s="3">
        <f t="shared" si="4"/>
        <v>0.256383898468974</v>
      </c>
      <c r="U25" s="3">
        <f t="shared" si="4"/>
        <v>0.250051406115152</v>
      </c>
      <c r="V25" s="3">
        <f t="shared" si="4"/>
        <v>0.242324956369236</v>
      </c>
      <c r="W25" s="3">
        <f t="shared" si="4"/>
        <v>0.234598506623319</v>
      </c>
      <c r="X25" s="3">
        <f t="shared" si="4"/>
        <v>0.226872056877403</v>
      </c>
      <c r="Y25" s="3">
        <f t="shared" si="4"/>
        <v>0.219145607131487</v>
      </c>
      <c r="Z25" s="3">
        <f t="shared" si="4"/>
        <v>0.211419157385571</v>
      </c>
      <c r="AA25" s="3">
        <f t="shared" si="4"/>
        <v>0.205573457945057</v>
      </c>
      <c r="AB25" s="3">
        <f t="shared" si="4"/>
        <v>0.199727758504543</v>
      </c>
      <c r="AC25" s="3">
        <f t="shared" si="4"/>
        <v>0.193882059064028</v>
      </c>
      <c r="AD25" s="3">
        <f t="shared" si="4"/>
        <v>0.188036359623514</v>
      </c>
      <c r="AE25" s="3">
        <f t="shared" si="4"/>
        <v>0.182190660183</v>
      </c>
      <c r="AF25" s="3">
        <f t="shared" si="4"/>
        <v>0.157010784133348</v>
      </c>
      <c r="AG25" s="3">
        <f t="shared" si="4"/>
        <v>0.131830908083696</v>
      </c>
      <c r="AH25" s="3">
        <f t="shared" si="4"/>
        <v>0.106651032034045</v>
      </c>
      <c r="AI25" s="3">
        <f t="shared" si="3"/>
        <v>0.0814711559843928</v>
      </c>
      <c r="AJ25" s="3">
        <f t="shared" si="3"/>
        <v>0.0562912799347411</v>
      </c>
    </row>
    <row r="26" spans="1:36">
      <c r="A26" t="str">
        <f>"semis_archetype_"&amp;TEXT(ROUND(Table269[[#This Row],[2016]],3),"0.000")</f>
        <v>semis_archetype_0.395</v>
      </c>
      <c r="B26" s="3">
        <f t="shared" si="2"/>
        <v>0.395</v>
      </c>
      <c r="C26" s="3">
        <f t="shared" si="1"/>
        <v>0.395</v>
      </c>
      <c r="D26" s="3">
        <f t="shared" si="1"/>
        <v>0.395</v>
      </c>
      <c r="E26" s="3">
        <f t="shared" si="1"/>
        <v>0.385286216673335</v>
      </c>
      <c r="F26" s="3">
        <f t="shared" si="1"/>
        <v>0.375572433346671</v>
      </c>
      <c r="G26" s="3">
        <f t="shared" si="1"/>
        <v>0.365858650020005</v>
      </c>
      <c r="H26" s="3">
        <f t="shared" si="1"/>
        <v>0.35614486669334</v>
      </c>
      <c r="I26" s="3">
        <f t="shared" si="1"/>
        <v>0.346431083366675</v>
      </c>
      <c r="J26" s="3">
        <f t="shared" si="1"/>
        <v>0.33671730004001</v>
      </c>
      <c r="K26" s="3">
        <f t="shared" si="1"/>
        <v>0.327003516713345</v>
      </c>
      <c r="L26" s="3">
        <f t="shared" si="1"/>
        <v>0.31728973338668</v>
      </c>
      <c r="M26" s="3">
        <f t="shared" si="1"/>
        <v>0.307575950060015</v>
      </c>
      <c r="N26" s="3">
        <f t="shared" si="1"/>
        <v>0.29786216673335</v>
      </c>
      <c r="O26" s="3">
        <f t="shared" si="1"/>
        <v>0.288148383406685</v>
      </c>
      <c r="P26" s="3">
        <f t="shared" si="1"/>
        <v>0.278434600080021</v>
      </c>
      <c r="Q26" s="3">
        <f t="shared" si="1"/>
        <v>0.272194227768317</v>
      </c>
      <c r="R26" s="3">
        <f t="shared" si="1"/>
        <v>0.265953855456614</v>
      </c>
      <c r="S26" s="3">
        <f t="shared" si="4"/>
        <v>0.259713483144911</v>
      </c>
      <c r="T26" s="3">
        <f t="shared" si="4"/>
        <v>0.253473110833207</v>
      </c>
      <c r="U26" s="3">
        <f t="shared" si="4"/>
        <v>0.247232738521504</v>
      </c>
      <c r="V26" s="3">
        <f t="shared" si="4"/>
        <v>0.239618686996739</v>
      </c>
      <c r="W26" s="3">
        <f t="shared" si="4"/>
        <v>0.232004635471975</v>
      </c>
      <c r="X26" s="3">
        <f t="shared" si="4"/>
        <v>0.22439058394721</v>
      </c>
      <c r="Y26" s="3">
        <f t="shared" si="4"/>
        <v>0.216776532422445</v>
      </c>
      <c r="Z26" s="3">
        <f t="shared" si="4"/>
        <v>0.209162480897681</v>
      </c>
      <c r="AA26" s="3">
        <f t="shared" si="4"/>
        <v>0.203401820024698</v>
      </c>
      <c r="AB26" s="3">
        <f t="shared" si="4"/>
        <v>0.197641159151716</v>
      </c>
      <c r="AC26" s="3">
        <f t="shared" si="4"/>
        <v>0.191880498278734</v>
      </c>
      <c r="AD26" s="3">
        <f t="shared" si="4"/>
        <v>0.186119837405751</v>
      </c>
      <c r="AE26" s="3">
        <f t="shared" si="4"/>
        <v>0.180359176532769</v>
      </c>
      <c r="AF26" s="3">
        <f t="shared" si="4"/>
        <v>0.155545597213163</v>
      </c>
      <c r="AG26" s="3">
        <f t="shared" si="4"/>
        <v>0.130732017893558</v>
      </c>
      <c r="AH26" s="3">
        <f t="shared" si="4"/>
        <v>0.105918438573952</v>
      </c>
      <c r="AI26" s="3">
        <f t="shared" si="3"/>
        <v>0.0811048592543466</v>
      </c>
      <c r="AJ26" s="3">
        <f t="shared" si="3"/>
        <v>0.0562912799347411</v>
      </c>
    </row>
    <row r="27" spans="1:36">
      <c r="A27" t="str">
        <f>"semis_archetype_"&amp;TEXT(ROUND(Table269[[#This Row],[2016]],3),"0.000")</f>
        <v>semis_archetype_0.390</v>
      </c>
      <c r="B27" s="3">
        <f t="shared" si="2"/>
        <v>0.39</v>
      </c>
      <c r="C27" s="3">
        <f t="shared" si="1"/>
        <v>0.39</v>
      </c>
      <c r="D27" s="3">
        <f t="shared" si="1"/>
        <v>0.39</v>
      </c>
      <c r="E27" s="3">
        <f t="shared" si="1"/>
        <v>0.380429611022981</v>
      </c>
      <c r="F27" s="3">
        <f t="shared" si="1"/>
        <v>0.370859222045964</v>
      </c>
      <c r="G27" s="3">
        <f t="shared" si="1"/>
        <v>0.361288833068944</v>
      </c>
      <c r="H27" s="3">
        <f t="shared" si="1"/>
        <v>0.351718444091926</v>
      </c>
      <c r="I27" s="3">
        <f t="shared" si="1"/>
        <v>0.342148055114907</v>
      </c>
      <c r="J27" s="3">
        <f t="shared" si="1"/>
        <v>0.332577666137889</v>
      </c>
      <c r="K27" s="3">
        <f t="shared" si="1"/>
        <v>0.32300727716087</v>
      </c>
      <c r="L27" s="3">
        <f t="shared" si="1"/>
        <v>0.313436888183852</v>
      </c>
      <c r="M27" s="3">
        <f t="shared" si="1"/>
        <v>0.303866499206833</v>
      </c>
      <c r="N27" s="3">
        <f t="shared" si="1"/>
        <v>0.294296110229815</v>
      </c>
      <c r="O27" s="3">
        <f t="shared" si="1"/>
        <v>0.284725721252796</v>
      </c>
      <c r="P27" s="3">
        <f t="shared" si="1"/>
        <v>0.275155332275778</v>
      </c>
      <c r="Q27" s="3">
        <f t="shared" si="1"/>
        <v>0.269007080006193</v>
      </c>
      <c r="R27" s="3">
        <f t="shared" si="1"/>
        <v>0.262858827736609</v>
      </c>
      <c r="S27" s="3">
        <f t="shared" si="4"/>
        <v>0.256710575467025</v>
      </c>
      <c r="T27" s="3">
        <f t="shared" si="4"/>
        <v>0.250562323197441</v>
      </c>
      <c r="U27" s="3">
        <f t="shared" si="4"/>
        <v>0.244414070927856</v>
      </c>
      <c r="V27" s="3">
        <f t="shared" si="4"/>
        <v>0.236912417624243</v>
      </c>
      <c r="W27" s="3">
        <f t="shared" si="4"/>
        <v>0.22941076432063</v>
      </c>
      <c r="X27" s="3">
        <f t="shared" si="4"/>
        <v>0.221909111017017</v>
      </c>
      <c r="Y27" s="3">
        <f t="shared" si="4"/>
        <v>0.214407457713404</v>
      </c>
      <c r="Z27" s="3">
        <f t="shared" si="4"/>
        <v>0.20690580440979</v>
      </c>
      <c r="AA27" s="3">
        <f t="shared" si="4"/>
        <v>0.20123018210434</v>
      </c>
      <c r="AB27" s="3">
        <f t="shared" si="4"/>
        <v>0.195554559798889</v>
      </c>
      <c r="AC27" s="3">
        <f t="shared" si="4"/>
        <v>0.189878937493439</v>
      </c>
      <c r="AD27" s="3">
        <f t="shared" si="4"/>
        <v>0.184203315187989</v>
      </c>
      <c r="AE27" s="3">
        <f t="shared" si="4"/>
        <v>0.178527692882538</v>
      </c>
      <c r="AF27" s="3">
        <f t="shared" si="4"/>
        <v>0.154080410292979</v>
      </c>
      <c r="AG27" s="3">
        <f t="shared" si="4"/>
        <v>0.129633127703419</v>
      </c>
      <c r="AH27" s="3">
        <f t="shared" si="4"/>
        <v>0.10518584511386</v>
      </c>
      <c r="AI27" s="3">
        <f t="shared" si="3"/>
        <v>0.0807385625243004</v>
      </c>
      <c r="AJ27" s="3">
        <f t="shared" si="3"/>
        <v>0.0562912799347411</v>
      </c>
    </row>
    <row r="28" spans="1:36">
      <c r="A28" t="str">
        <f>"semis_archetype_"&amp;TEXT(ROUND(Table269[[#This Row],[2016]],3),"0.000")</f>
        <v>semis_archetype_0.385</v>
      </c>
      <c r="B28" s="3">
        <f t="shared" si="2"/>
        <v>0.385</v>
      </c>
      <c r="C28" s="3">
        <f t="shared" si="1"/>
        <v>0.385</v>
      </c>
      <c r="D28" s="3">
        <f t="shared" si="1"/>
        <v>0.385</v>
      </c>
      <c r="E28" s="3">
        <f t="shared" si="1"/>
        <v>0.375573005372628</v>
      </c>
      <c r="F28" s="3">
        <f t="shared" si="1"/>
        <v>0.366146010745256</v>
      </c>
      <c r="G28" s="3">
        <f t="shared" si="1"/>
        <v>0.356719016117884</v>
      </c>
      <c r="H28" s="3">
        <f t="shared" si="1"/>
        <v>0.347292021490511</v>
      </c>
      <c r="I28" s="3">
        <f t="shared" si="1"/>
        <v>0.337865026863139</v>
      </c>
      <c r="J28" s="3">
        <f t="shared" si="1"/>
        <v>0.328438032235767</v>
      </c>
      <c r="K28" s="3">
        <f t="shared" ref="K28:Z43" si="5">(($B28-$AJ$2)*((K$2-$AJ$2)/($B$2-$AJ$2)))+$AJ$2</f>
        <v>0.319011037608395</v>
      </c>
      <c r="L28" s="3">
        <f t="shared" si="5"/>
        <v>0.309584042981023</v>
      </c>
      <c r="M28" s="3">
        <f t="shared" si="5"/>
        <v>0.300157048353651</v>
      </c>
      <c r="N28" s="3">
        <f t="shared" si="5"/>
        <v>0.290730053726279</v>
      </c>
      <c r="O28" s="3">
        <f t="shared" si="5"/>
        <v>0.281303059098906</v>
      </c>
      <c r="P28" s="3">
        <f t="shared" si="5"/>
        <v>0.271876064471534</v>
      </c>
      <c r="Q28" s="3">
        <f t="shared" si="5"/>
        <v>0.265819932244069</v>
      </c>
      <c r="R28" s="3">
        <f t="shared" si="5"/>
        <v>0.259763800016604</v>
      </c>
      <c r="S28" s="3">
        <f t="shared" si="5"/>
        <v>0.253707667789139</v>
      </c>
      <c r="T28" s="3">
        <f t="shared" si="5"/>
        <v>0.247651535561674</v>
      </c>
      <c r="U28" s="3">
        <f t="shared" si="5"/>
        <v>0.241595403334209</v>
      </c>
      <c r="V28" s="3">
        <f t="shared" si="5"/>
        <v>0.234206148251747</v>
      </c>
      <c r="W28" s="3">
        <f t="shared" si="5"/>
        <v>0.226816893169285</v>
      </c>
      <c r="X28" s="3">
        <f t="shared" si="5"/>
        <v>0.219427638086824</v>
      </c>
      <c r="Y28" s="3">
        <f t="shared" si="5"/>
        <v>0.212038383004362</v>
      </c>
      <c r="Z28" s="3">
        <f t="shared" si="5"/>
        <v>0.2046491279219</v>
      </c>
      <c r="AA28" s="3">
        <f t="shared" si="4"/>
        <v>0.199058544183981</v>
      </c>
      <c r="AB28" s="3">
        <f t="shared" si="4"/>
        <v>0.193467960446063</v>
      </c>
      <c r="AC28" s="3">
        <f t="shared" si="4"/>
        <v>0.187877376708144</v>
      </c>
      <c r="AD28" s="3">
        <f t="shared" si="4"/>
        <v>0.182286792970226</v>
      </c>
      <c r="AE28" s="3">
        <f t="shared" si="4"/>
        <v>0.176696209232307</v>
      </c>
      <c r="AF28" s="3">
        <f t="shared" si="4"/>
        <v>0.152615223372794</v>
      </c>
      <c r="AG28" s="3">
        <f t="shared" si="4"/>
        <v>0.128534237513281</v>
      </c>
      <c r="AH28" s="3">
        <f t="shared" si="4"/>
        <v>0.104453251653767</v>
      </c>
      <c r="AI28" s="3">
        <f t="shared" si="3"/>
        <v>0.0803722657942543</v>
      </c>
      <c r="AJ28" s="3">
        <f t="shared" si="3"/>
        <v>0.0562912799347411</v>
      </c>
    </row>
    <row r="29" spans="1:36">
      <c r="A29" t="str">
        <f>"semis_archetype_"&amp;TEXT(ROUND(Table269[[#This Row],[2016]],3),"0.000")</f>
        <v>semis_archetype_0.380</v>
      </c>
      <c r="B29" s="3">
        <f t="shared" si="2"/>
        <v>0.38</v>
      </c>
      <c r="C29" s="3">
        <f t="shared" ref="C29:R44" si="6">(($B29-$AJ$2)*((C$2-$AJ$2)/($B$2-$AJ$2)))+$AJ$2</f>
        <v>0.38</v>
      </c>
      <c r="D29" s="3">
        <f t="shared" si="6"/>
        <v>0.38</v>
      </c>
      <c r="E29" s="3">
        <f t="shared" si="6"/>
        <v>0.370716399722274</v>
      </c>
      <c r="F29" s="3">
        <f t="shared" si="6"/>
        <v>0.361432799444549</v>
      </c>
      <c r="G29" s="3">
        <f t="shared" si="6"/>
        <v>0.352149199166823</v>
      </c>
      <c r="H29" s="3">
        <f t="shared" si="6"/>
        <v>0.342865598889097</v>
      </c>
      <c r="I29" s="3">
        <f t="shared" si="6"/>
        <v>0.333581998611371</v>
      </c>
      <c r="J29" s="3">
        <f t="shared" si="6"/>
        <v>0.324298398333646</v>
      </c>
      <c r="K29" s="3">
        <f t="shared" si="6"/>
        <v>0.31501479805592</v>
      </c>
      <c r="L29" s="3">
        <f t="shared" si="6"/>
        <v>0.305731197778194</v>
      </c>
      <c r="M29" s="3">
        <f t="shared" si="6"/>
        <v>0.296447597500468</v>
      </c>
      <c r="N29" s="3">
        <f t="shared" si="6"/>
        <v>0.287163997222743</v>
      </c>
      <c r="O29" s="3">
        <f t="shared" si="6"/>
        <v>0.277880396945017</v>
      </c>
      <c r="P29" s="3">
        <f t="shared" si="6"/>
        <v>0.268596796667291</v>
      </c>
      <c r="Q29" s="3">
        <f t="shared" si="6"/>
        <v>0.262632784481945</v>
      </c>
      <c r="R29" s="3">
        <f t="shared" si="6"/>
        <v>0.256668772296599</v>
      </c>
      <c r="S29" s="3">
        <f t="shared" si="5"/>
        <v>0.250704760111253</v>
      </c>
      <c r="T29" s="3">
        <f t="shared" si="5"/>
        <v>0.244740747925907</v>
      </c>
      <c r="U29" s="3">
        <f t="shared" si="5"/>
        <v>0.238776735740561</v>
      </c>
      <c r="V29" s="3">
        <f t="shared" si="5"/>
        <v>0.231499878879251</v>
      </c>
      <c r="W29" s="3">
        <f t="shared" si="5"/>
        <v>0.224223022017941</v>
      </c>
      <c r="X29" s="3">
        <f t="shared" si="5"/>
        <v>0.21694616515663</v>
      </c>
      <c r="Y29" s="3">
        <f t="shared" si="5"/>
        <v>0.20966930829532</v>
      </c>
      <c r="Z29" s="3">
        <f t="shared" si="5"/>
        <v>0.20239245143401</v>
      </c>
      <c r="AA29" s="3">
        <f t="shared" si="4"/>
        <v>0.196886906263623</v>
      </c>
      <c r="AB29" s="3">
        <f t="shared" si="4"/>
        <v>0.191381361093236</v>
      </c>
      <c r="AC29" s="3">
        <f t="shared" si="4"/>
        <v>0.18587581592285</v>
      </c>
      <c r="AD29" s="3">
        <f t="shared" si="4"/>
        <v>0.180370270752463</v>
      </c>
      <c r="AE29" s="3">
        <f t="shared" si="4"/>
        <v>0.174864725582076</v>
      </c>
      <c r="AF29" s="3">
        <f t="shared" si="4"/>
        <v>0.151150036452609</v>
      </c>
      <c r="AG29" s="3">
        <f t="shared" si="4"/>
        <v>0.127435347323142</v>
      </c>
      <c r="AH29" s="3">
        <f t="shared" ref="AH29:AJ29" si="7">(($B29-$AJ$2)*((AH$2-$AJ$2)/($B$2-$AJ$2)))+$AJ$2</f>
        <v>0.103720658193675</v>
      </c>
      <c r="AI29" s="3">
        <f t="shared" si="7"/>
        <v>0.0800059690642081</v>
      </c>
      <c r="AJ29" s="3">
        <f t="shared" si="7"/>
        <v>0.0562912799347411</v>
      </c>
    </row>
    <row r="30" spans="1:36">
      <c r="A30" t="str">
        <f>"semis_archetype_"&amp;TEXT(ROUND(Table269[[#This Row],[2016]],3),"0.000")</f>
        <v>semis_archetype_0.375</v>
      </c>
      <c r="B30" s="3">
        <f t="shared" si="2"/>
        <v>0.375</v>
      </c>
      <c r="C30" s="3">
        <f t="shared" si="6"/>
        <v>0.375</v>
      </c>
      <c r="D30" s="3">
        <f t="shared" si="6"/>
        <v>0.375</v>
      </c>
      <c r="E30" s="3">
        <f t="shared" si="6"/>
        <v>0.365859794071921</v>
      </c>
      <c r="F30" s="3">
        <f t="shared" si="6"/>
        <v>0.356719588143842</v>
      </c>
      <c r="G30" s="3">
        <f t="shared" si="6"/>
        <v>0.347579382215762</v>
      </c>
      <c r="H30" s="3">
        <f t="shared" si="6"/>
        <v>0.338439176287683</v>
      </c>
      <c r="I30" s="3">
        <f t="shared" si="6"/>
        <v>0.329298970359603</v>
      </c>
      <c r="J30" s="3">
        <f t="shared" si="6"/>
        <v>0.320158764431524</v>
      </c>
      <c r="K30" s="3">
        <f t="shared" si="6"/>
        <v>0.311018558503445</v>
      </c>
      <c r="L30" s="3">
        <f t="shared" si="6"/>
        <v>0.301878352575365</v>
      </c>
      <c r="M30" s="3">
        <f t="shared" si="6"/>
        <v>0.292738146647286</v>
      </c>
      <c r="N30" s="3">
        <f t="shared" si="6"/>
        <v>0.283597940719207</v>
      </c>
      <c r="O30" s="3">
        <f t="shared" si="6"/>
        <v>0.274457734791127</v>
      </c>
      <c r="P30" s="3">
        <f t="shared" si="6"/>
        <v>0.265317528863048</v>
      </c>
      <c r="Q30" s="3">
        <f t="shared" si="6"/>
        <v>0.259445636719821</v>
      </c>
      <c r="R30" s="3">
        <f t="shared" si="6"/>
        <v>0.253573744576594</v>
      </c>
      <c r="S30" s="3">
        <f t="shared" si="5"/>
        <v>0.247701852433367</v>
      </c>
      <c r="T30" s="3">
        <f t="shared" si="5"/>
        <v>0.241829960290141</v>
      </c>
      <c r="U30" s="3">
        <f t="shared" si="5"/>
        <v>0.235958068146914</v>
      </c>
      <c r="V30" s="3">
        <f t="shared" si="5"/>
        <v>0.228793609506755</v>
      </c>
      <c r="W30" s="3">
        <f t="shared" si="5"/>
        <v>0.221629150866596</v>
      </c>
      <c r="X30" s="3">
        <f t="shared" si="5"/>
        <v>0.214464692226437</v>
      </c>
      <c r="Y30" s="3">
        <f t="shared" si="5"/>
        <v>0.207300233586278</v>
      </c>
      <c r="Z30" s="3">
        <f t="shared" si="5"/>
        <v>0.200135774946119</v>
      </c>
      <c r="AA30" s="3">
        <f t="shared" ref="AA30:AJ82" si="8">(($B30-$AJ$2)*((AA$2-$AJ$2)/($B$2-$AJ$2)))+$AJ$2</f>
        <v>0.194715268343265</v>
      </c>
      <c r="AB30" s="3">
        <f t="shared" si="8"/>
        <v>0.18929476174041</v>
      </c>
      <c r="AC30" s="3">
        <f t="shared" si="8"/>
        <v>0.183874255137555</v>
      </c>
      <c r="AD30" s="3">
        <f t="shared" si="8"/>
        <v>0.1784537485347</v>
      </c>
      <c r="AE30" s="3">
        <f t="shared" si="8"/>
        <v>0.173033241931845</v>
      </c>
      <c r="AF30" s="3">
        <f t="shared" si="8"/>
        <v>0.149684849532425</v>
      </c>
      <c r="AG30" s="3">
        <f t="shared" si="8"/>
        <v>0.126336457133004</v>
      </c>
      <c r="AH30" s="3">
        <f t="shared" si="8"/>
        <v>0.102988064733583</v>
      </c>
      <c r="AI30" s="3">
        <f t="shared" si="8"/>
        <v>0.0796396723341619</v>
      </c>
      <c r="AJ30" s="3">
        <f t="shared" si="8"/>
        <v>0.0562912799347411</v>
      </c>
    </row>
    <row r="31" spans="1:36">
      <c r="A31" t="str">
        <f>"semis_archetype_"&amp;TEXT(ROUND(Table269[[#This Row],[2016]],3),"0.000")</f>
        <v>semis_archetype_0.370</v>
      </c>
      <c r="B31" s="3">
        <f t="shared" si="2"/>
        <v>0.37</v>
      </c>
      <c r="C31" s="3">
        <f t="shared" si="6"/>
        <v>0.37</v>
      </c>
      <c r="D31" s="3">
        <f t="shared" si="6"/>
        <v>0.37</v>
      </c>
      <c r="E31" s="3">
        <f t="shared" si="6"/>
        <v>0.361003188421567</v>
      </c>
      <c r="F31" s="3">
        <f t="shared" si="6"/>
        <v>0.352006376843135</v>
      </c>
      <c r="G31" s="3">
        <f t="shared" si="6"/>
        <v>0.343009565264701</v>
      </c>
      <c r="H31" s="3">
        <f t="shared" si="6"/>
        <v>0.334012753686268</v>
      </c>
      <c r="I31" s="3">
        <f t="shared" si="6"/>
        <v>0.325015942107835</v>
      </c>
      <c r="J31" s="3">
        <f t="shared" si="6"/>
        <v>0.316019130529403</v>
      </c>
      <c r="K31" s="3">
        <f t="shared" si="6"/>
        <v>0.30702231895097</v>
      </c>
      <c r="L31" s="3">
        <f t="shared" si="6"/>
        <v>0.298025507372537</v>
      </c>
      <c r="M31" s="3">
        <f t="shared" si="6"/>
        <v>0.289028695794104</v>
      </c>
      <c r="N31" s="3">
        <f t="shared" si="6"/>
        <v>0.280031884215671</v>
      </c>
      <c r="O31" s="3">
        <f t="shared" si="6"/>
        <v>0.271035072637238</v>
      </c>
      <c r="P31" s="3">
        <f t="shared" si="6"/>
        <v>0.262038261058805</v>
      </c>
      <c r="Q31" s="3">
        <f t="shared" si="6"/>
        <v>0.256258488957697</v>
      </c>
      <c r="R31" s="3">
        <f t="shared" si="6"/>
        <v>0.250478716856589</v>
      </c>
      <c r="S31" s="3">
        <f t="shared" si="5"/>
        <v>0.244698944755482</v>
      </c>
      <c r="T31" s="3">
        <f t="shared" si="5"/>
        <v>0.238919172654374</v>
      </c>
      <c r="U31" s="3">
        <f t="shared" si="5"/>
        <v>0.233139400553266</v>
      </c>
      <c r="V31" s="3">
        <f t="shared" si="5"/>
        <v>0.226087340134258</v>
      </c>
      <c r="W31" s="3">
        <f t="shared" si="5"/>
        <v>0.219035279715251</v>
      </c>
      <c r="X31" s="3">
        <f t="shared" si="5"/>
        <v>0.211983219296244</v>
      </c>
      <c r="Y31" s="3">
        <f t="shared" si="5"/>
        <v>0.204931158877236</v>
      </c>
      <c r="Z31" s="3">
        <f t="shared" si="5"/>
        <v>0.197879098458229</v>
      </c>
      <c r="AA31" s="3">
        <f t="shared" si="8"/>
        <v>0.192543630422906</v>
      </c>
      <c r="AB31" s="3">
        <f t="shared" si="8"/>
        <v>0.187208162387583</v>
      </c>
      <c r="AC31" s="3">
        <f t="shared" si="8"/>
        <v>0.18187269435226</v>
      </c>
      <c r="AD31" s="3">
        <f t="shared" si="8"/>
        <v>0.176537226316938</v>
      </c>
      <c r="AE31" s="3">
        <f t="shared" si="8"/>
        <v>0.171201758281615</v>
      </c>
      <c r="AF31" s="3">
        <f t="shared" si="8"/>
        <v>0.14821966261224</v>
      </c>
      <c r="AG31" s="3">
        <f t="shared" si="8"/>
        <v>0.125237566942865</v>
      </c>
      <c r="AH31" s="3">
        <f t="shared" si="8"/>
        <v>0.10225547127349</v>
      </c>
      <c r="AI31" s="3">
        <f t="shared" si="8"/>
        <v>0.0792733756041158</v>
      </c>
      <c r="AJ31" s="3">
        <f t="shared" si="8"/>
        <v>0.0562912799347411</v>
      </c>
    </row>
    <row r="32" spans="1:36">
      <c r="A32" t="str">
        <f>"semis_archetype_"&amp;TEXT(ROUND(Table269[[#This Row],[2016]],3),"0.000")</f>
        <v>semis_archetype_0.365</v>
      </c>
      <c r="B32" s="3">
        <f t="shared" si="2"/>
        <v>0.365</v>
      </c>
      <c r="C32" s="3">
        <f t="shared" si="6"/>
        <v>0.365</v>
      </c>
      <c r="D32" s="3">
        <f t="shared" si="6"/>
        <v>0.365</v>
      </c>
      <c r="E32" s="3">
        <f t="shared" si="6"/>
        <v>0.356146582771213</v>
      </c>
      <c r="F32" s="3">
        <f t="shared" si="6"/>
        <v>0.347293165542428</v>
      </c>
      <c r="G32" s="3">
        <f t="shared" si="6"/>
        <v>0.33843974831364</v>
      </c>
      <c r="H32" s="3">
        <f t="shared" si="6"/>
        <v>0.329586331084854</v>
      </c>
      <c r="I32" s="3">
        <f t="shared" si="6"/>
        <v>0.320732913856067</v>
      </c>
      <c r="J32" s="3">
        <f t="shared" si="6"/>
        <v>0.311879496627281</v>
      </c>
      <c r="K32" s="3">
        <f t="shared" si="6"/>
        <v>0.303026079398494</v>
      </c>
      <c r="L32" s="3">
        <f t="shared" si="6"/>
        <v>0.294172662169708</v>
      </c>
      <c r="M32" s="3">
        <f t="shared" si="6"/>
        <v>0.285319244940921</v>
      </c>
      <c r="N32" s="3">
        <f t="shared" si="6"/>
        <v>0.276465827712135</v>
      </c>
      <c r="O32" s="3">
        <f t="shared" si="6"/>
        <v>0.267612410483348</v>
      </c>
      <c r="P32" s="3">
        <f t="shared" si="6"/>
        <v>0.258758993254562</v>
      </c>
      <c r="Q32" s="3">
        <f t="shared" si="6"/>
        <v>0.253071341195573</v>
      </c>
      <c r="R32" s="3">
        <f t="shared" si="6"/>
        <v>0.247383689136584</v>
      </c>
      <c r="S32" s="3">
        <f t="shared" si="5"/>
        <v>0.241696037077596</v>
      </c>
      <c r="T32" s="3">
        <f t="shared" si="5"/>
        <v>0.236008385018607</v>
      </c>
      <c r="U32" s="3">
        <f t="shared" si="5"/>
        <v>0.230320732959618</v>
      </c>
      <c r="V32" s="3">
        <f t="shared" si="5"/>
        <v>0.223381070761762</v>
      </c>
      <c r="W32" s="3">
        <f t="shared" si="5"/>
        <v>0.216441408563906</v>
      </c>
      <c r="X32" s="3">
        <f t="shared" si="5"/>
        <v>0.20950174636605</v>
      </c>
      <c r="Y32" s="3">
        <f t="shared" si="5"/>
        <v>0.202562084168195</v>
      </c>
      <c r="Z32" s="3">
        <f t="shared" si="5"/>
        <v>0.195622421970339</v>
      </c>
      <c r="AA32" s="3">
        <f t="shared" si="8"/>
        <v>0.190371992502548</v>
      </c>
      <c r="AB32" s="3">
        <f t="shared" si="8"/>
        <v>0.185121563034757</v>
      </c>
      <c r="AC32" s="3">
        <f t="shared" si="8"/>
        <v>0.179871133566966</v>
      </c>
      <c r="AD32" s="3">
        <f t="shared" si="8"/>
        <v>0.174620704099175</v>
      </c>
      <c r="AE32" s="3">
        <f t="shared" si="8"/>
        <v>0.169370274631384</v>
      </c>
      <c r="AF32" s="3">
        <f t="shared" si="8"/>
        <v>0.146754475692055</v>
      </c>
      <c r="AG32" s="3">
        <f t="shared" si="8"/>
        <v>0.124138676752727</v>
      </c>
      <c r="AH32" s="3">
        <f t="shared" si="8"/>
        <v>0.101522877813398</v>
      </c>
      <c r="AI32" s="3">
        <f t="shared" si="8"/>
        <v>0.0789070788740696</v>
      </c>
      <c r="AJ32" s="3">
        <f t="shared" si="8"/>
        <v>0.0562912799347411</v>
      </c>
    </row>
    <row r="33" spans="1:36">
      <c r="A33" t="str">
        <f>"semis_archetype_"&amp;TEXT(ROUND(Table269[[#This Row],[2016]],3),"0.000")</f>
        <v>semis_archetype_0.360</v>
      </c>
      <c r="B33" s="3">
        <f t="shared" si="2"/>
        <v>0.36</v>
      </c>
      <c r="C33" s="3">
        <f t="shared" si="6"/>
        <v>0.36</v>
      </c>
      <c r="D33" s="3">
        <f t="shared" si="6"/>
        <v>0.36</v>
      </c>
      <c r="E33" s="3">
        <f t="shared" si="6"/>
        <v>0.35128997712086</v>
      </c>
      <c r="F33" s="3">
        <f t="shared" si="6"/>
        <v>0.34257995424172</v>
      </c>
      <c r="G33" s="3">
        <f t="shared" si="6"/>
        <v>0.33386993136258</v>
      </c>
      <c r="H33" s="3">
        <f t="shared" si="6"/>
        <v>0.32515990848344</v>
      </c>
      <c r="I33" s="3">
        <f t="shared" si="6"/>
        <v>0.316449885604299</v>
      </c>
      <c r="J33" s="3">
        <f t="shared" si="6"/>
        <v>0.307739862725159</v>
      </c>
      <c r="K33" s="3">
        <f t="shared" si="6"/>
        <v>0.299029839846019</v>
      </c>
      <c r="L33" s="3">
        <f t="shared" si="6"/>
        <v>0.290319816966879</v>
      </c>
      <c r="M33" s="3">
        <f t="shared" si="6"/>
        <v>0.281609794087739</v>
      </c>
      <c r="N33" s="3">
        <f t="shared" si="6"/>
        <v>0.272899771208599</v>
      </c>
      <c r="O33" s="3">
        <f t="shared" si="6"/>
        <v>0.264189748329459</v>
      </c>
      <c r="P33" s="3">
        <f t="shared" si="6"/>
        <v>0.255479725450319</v>
      </c>
      <c r="Q33" s="3">
        <f t="shared" si="6"/>
        <v>0.249884193433449</v>
      </c>
      <c r="R33" s="3">
        <f t="shared" si="6"/>
        <v>0.24428866141658</v>
      </c>
      <c r="S33" s="3">
        <f t="shared" si="5"/>
        <v>0.23869312939971</v>
      </c>
      <c r="T33" s="3">
        <f t="shared" si="5"/>
        <v>0.23309759738284</v>
      </c>
      <c r="U33" s="3">
        <f t="shared" si="5"/>
        <v>0.227502065365971</v>
      </c>
      <c r="V33" s="3">
        <f t="shared" si="5"/>
        <v>0.220674801389266</v>
      </c>
      <c r="W33" s="3">
        <f t="shared" si="5"/>
        <v>0.213847537412562</v>
      </c>
      <c r="X33" s="3">
        <f t="shared" si="5"/>
        <v>0.207020273435857</v>
      </c>
      <c r="Y33" s="3">
        <f t="shared" si="5"/>
        <v>0.200193009459153</v>
      </c>
      <c r="Z33" s="3">
        <f t="shared" si="5"/>
        <v>0.193365745482448</v>
      </c>
      <c r="AA33" s="3">
        <f t="shared" si="8"/>
        <v>0.188200354582189</v>
      </c>
      <c r="AB33" s="3">
        <f t="shared" si="8"/>
        <v>0.18303496368193</v>
      </c>
      <c r="AC33" s="3">
        <f t="shared" si="8"/>
        <v>0.177869572781671</v>
      </c>
      <c r="AD33" s="3">
        <f t="shared" si="8"/>
        <v>0.172704181881412</v>
      </c>
      <c r="AE33" s="3">
        <f t="shared" si="8"/>
        <v>0.167538790981153</v>
      </c>
      <c r="AF33" s="3">
        <f t="shared" si="8"/>
        <v>0.145289288771871</v>
      </c>
      <c r="AG33" s="3">
        <f t="shared" si="8"/>
        <v>0.123039786562588</v>
      </c>
      <c r="AH33" s="3">
        <f t="shared" si="8"/>
        <v>0.100790284353306</v>
      </c>
      <c r="AI33" s="3">
        <f t="shared" si="8"/>
        <v>0.0785407821440234</v>
      </c>
      <c r="AJ33" s="3">
        <f t="shared" si="8"/>
        <v>0.0562912799347411</v>
      </c>
    </row>
    <row r="34" spans="1:36">
      <c r="A34" t="str">
        <f>"semis_archetype_"&amp;TEXT(ROUND(Table269[[#This Row],[2016]],3),"0.000")</f>
        <v>semis_archetype_0.355</v>
      </c>
      <c r="B34" s="3">
        <f t="shared" si="2"/>
        <v>0.355</v>
      </c>
      <c r="C34" s="3">
        <f t="shared" si="6"/>
        <v>0.355</v>
      </c>
      <c r="D34" s="3">
        <f t="shared" si="6"/>
        <v>0.355</v>
      </c>
      <c r="E34" s="3">
        <f t="shared" si="6"/>
        <v>0.346433371470506</v>
      </c>
      <c r="F34" s="3">
        <f t="shared" si="6"/>
        <v>0.337866742941013</v>
      </c>
      <c r="G34" s="3">
        <f t="shared" si="6"/>
        <v>0.329300114411519</v>
      </c>
      <c r="H34" s="3">
        <f t="shared" si="6"/>
        <v>0.320733485882025</v>
      </c>
      <c r="I34" s="3">
        <f t="shared" si="6"/>
        <v>0.312166857352531</v>
      </c>
      <c r="J34" s="3">
        <f t="shared" si="6"/>
        <v>0.303600228823038</v>
      </c>
      <c r="K34" s="3">
        <f t="shared" si="6"/>
        <v>0.295033600293544</v>
      </c>
      <c r="L34" s="3">
        <f t="shared" si="6"/>
        <v>0.28646697176405</v>
      </c>
      <c r="M34" s="3">
        <f t="shared" si="6"/>
        <v>0.277900343234557</v>
      </c>
      <c r="N34" s="3">
        <f t="shared" si="6"/>
        <v>0.269333714705063</v>
      </c>
      <c r="O34" s="3">
        <f t="shared" si="6"/>
        <v>0.260767086175569</v>
      </c>
      <c r="P34" s="3">
        <f t="shared" si="6"/>
        <v>0.252200457646076</v>
      </c>
      <c r="Q34" s="3">
        <f t="shared" si="6"/>
        <v>0.246697045671325</v>
      </c>
      <c r="R34" s="3">
        <f t="shared" si="6"/>
        <v>0.241193633696575</v>
      </c>
      <c r="S34" s="3">
        <f t="shared" si="5"/>
        <v>0.235690221721824</v>
      </c>
      <c r="T34" s="3">
        <f t="shared" si="5"/>
        <v>0.230186809747074</v>
      </c>
      <c r="U34" s="3">
        <f t="shared" si="5"/>
        <v>0.224683397772323</v>
      </c>
      <c r="V34" s="3">
        <f t="shared" si="5"/>
        <v>0.21796853201677</v>
      </c>
      <c r="W34" s="3">
        <f t="shared" si="5"/>
        <v>0.211253666261217</v>
      </c>
      <c r="X34" s="3">
        <f t="shared" si="5"/>
        <v>0.204538800505664</v>
      </c>
      <c r="Y34" s="3">
        <f t="shared" si="5"/>
        <v>0.197823934750111</v>
      </c>
      <c r="Z34" s="3">
        <f t="shared" si="5"/>
        <v>0.191109068994558</v>
      </c>
      <c r="AA34" s="3">
        <f t="shared" si="8"/>
        <v>0.186028716661831</v>
      </c>
      <c r="AB34" s="3">
        <f t="shared" si="8"/>
        <v>0.180948364329104</v>
      </c>
      <c r="AC34" s="3">
        <f t="shared" si="8"/>
        <v>0.175868011996376</v>
      </c>
      <c r="AD34" s="3">
        <f t="shared" si="8"/>
        <v>0.170787659663649</v>
      </c>
      <c r="AE34" s="3">
        <f t="shared" si="8"/>
        <v>0.165707307330922</v>
      </c>
      <c r="AF34" s="3">
        <f t="shared" si="8"/>
        <v>0.143824101851686</v>
      </c>
      <c r="AG34" s="3">
        <f t="shared" si="8"/>
        <v>0.12194089637245</v>
      </c>
      <c r="AH34" s="3">
        <f t="shared" si="8"/>
        <v>0.100057690893213</v>
      </c>
      <c r="AI34" s="3">
        <f t="shared" si="8"/>
        <v>0.0781744854139773</v>
      </c>
      <c r="AJ34" s="3">
        <f t="shared" si="8"/>
        <v>0.0562912799347411</v>
      </c>
    </row>
    <row r="35" spans="1:36">
      <c r="A35" t="str">
        <f>"semis_archetype_"&amp;TEXT(ROUND(Table269[[#This Row],[2016]],3),"0.000")</f>
        <v>semis_archetype_0.350</v>
      </c>
      <c r="B35" s="3">
        <f t="shared" si="2"/>
        <v>0.35</v>
      </c>
      <c r="C35" s="3">
        <f t="shared" si="6"/>
        <v>0.35</v>
      </c>
      <c r="D35" s="3">
        <f t="shared" si="6"/>
        <v>0.35</v>
      </c>
      <c r="E35" s="3">
        <f t="shared" si="6"/>
        <v>0.341576765820153</v>
      </c>
      <c r="F35" s="3">
        <f t="shared" si="6"/>
        <v>0.333153531640306</v>
      </c>
      <c r="G35" s="3">
        <f t="shared" si="6"/>
        <v>0.324730297460458</v>
      </c>
      <c r="H35" s="3">
        <f t="shared" si="6"/>
        <v>0.316307063280611</v>
      </c>
      <c r="I35" s="3">
        <f t="shared" si="6"/>
        <v>0.307883829100764</v>
      </c>
      <c r="J35" s="3">
        <f t="shared" si="6"/>
        <v>0.299460594920916</v>
      </c>
      <c r="K35" s="3">
        <f t="shared" si="6"/>
        <v>0.291037360741069</v>
      </c>
      <c r="L35" s="3">
        <f t="shared" si="6"/>
        <v>0.282614126561222</v>
      </c>
      <c r="M35" s="3">
        <f t="shared" si="6"/>
        <v>0.274190892381374</v>
      </c>
      <c r="N35" s="3">
        <f t="shared" si="6"/>
        <v>0.265767658201527</v>
      </c>
      <c r="O35" s="3">
        <f t="shared" si="6"/>
        <v>0.25734442402168</v>
      </c>
      <c r="P35" s="3">
        <f t="shared" si="6"/>
        <v>0.248921189841833</v>
      </c>
      <c r="Q35" s="3">
        <f t="shared" si="6"/>
        <v>0.243509897909201</v>
      </c>
      <c r="R35" s="3">
        <f t="shared" si="6"/>
        <v>0.23809860597657</v>
      </c>
      <c r="S35" s="3">
        <f t="shared" si="5"/>
        <v>0.232687314043938</v>
      </c>
      <c r="T35" s="3">
        <f t="shared" si="5"/>
        <v>0.227276022111307</v>
      </c>
      <c r="U35" s="3">
        <f t="shared" si="5"/>
        <v>0.221864730178675</v>
      </c>
      <c r="V35" s="3">
        <f t="shared" si="5"/>
        <v>0.215262262644274</v>
      </c>
      <c r="W35" s="3">
        <f t="shared" si="5"/>
        <v>0.208659795109872</v>
      </c>
      <c r="X35" s="3">
        <f t="shared" si="5"/>
        <v>0.202057327575471</v>
      </c>
      <c r="Y35" s="3">
        <f t="shared" si="5"/>
        <v>0.195454860041069</v>
      </c>
      <c r="Z35" s="3">
        <f t="shared" si="5"/>
        <v>0.188852392506668</v>
      </c>
      <c r="AA35" s="3">
        <f t="shared" si="8"/>
        <v>0.183857078741472</v>
      </c>
      <c r="AB35" s="3">
        <f t="shared" si="8"/>
        <v>0.178861764976277</v>
      </c>
      <c r="AC35" s="3">
        <f t="shared" si="8"/>
        <v>0.173866451211082</v>
      </c>
      <c r="AD35" s="3">
        <f t="shared" si="8"/>
        <v>0.168871137445887</v>
      </c>
      <c r="AE35" s="3">
        <f t="shared" si="8"/>
        <v>0.163875823680691</v>
      </c>
      <c r="AF35" s="3">
        <f t="shared" si="8"/>
        <v>0.142358914931501</v>
      </c>
      <c r="AG35" s="3">
        <f t="shared" si="8"/>
        <v>0.120842006182311</v>
      </c>
      <c r="AH35" s="3">
        <f t="shared" si="8"/>
        <v>0.0993250974331211</v>
      </c>
      <c r="AI35" s="3">
        <f t="shared" si="8"/>
        <v>0.0778081886839311</v>
      </c>
      <c r="AJ35" s="3">
        <f t="shared" si="8"/>
        <v>0.0562912799347411</v>
      </c>
    </row>
    <row r="36" spans="1:36">
      <c r="A36" t="str">
        <f>"semis_archetype_"&amp;TEXT(ROUND(Table269[[#This Row],[2016]],3),"0.000")</f>
        <v>semis_archetype_0.345</v>
      </c>
      <c r="B36" s="3">
        <f t="shared" si="2"/>
        <v>0.345</v>
      </c>
      <c r="C36" s="3">
        <f t="shared" si="6"/>
        <v>0.345</v>
      </c>
      <c r="D36" s="3">
        <f t="shared" si="6"/>
        <v>0.345</v>
      </c>
      <c r="E36" s="3">
        <f t="shared" si="6"/>
        <v>0.336720160169799</v>
      </c>
      <c r="F36" s="3">
        <f t="shared" si="6"/>
        <v>0.328440320339599</v>
      </c>
      <c r="G36" s="3">
        <f t="shared" si="6"/>
        <v>0.320160480509397</v>
      </c>
      <c r="H36" s="3">
        <f t="shared" si="6"/>
        <v>0.311880640679197</v>
      </c>
      <c r="I36" s="3">
        <f t="shared" si="6"/>
        <v>0.303600800848996</v>
      </c>
      <c r="J36" s="3">
        <f t="shared" si="6"/>
        <v>0.295320961018795</v>
      </c>
      <c r="K36" s="3">
        <f t="shared" si="6"/>
        <v>0.287041121188594</v>
      </c>
      <c r="L36" s="3">
        <f t="shared" si="6"/>
        <v>0.278761281358393</v>
      </c>
      <c r="M36" s="3">
        <f t="shared" si="6"/>
        <v>0.270481441528192</v>
      </c>
      <c r="N36" s="3">
        <f t="shared" si="6"/>
        <v>0.262201601697991</v>
      </c>
      <c r="O36" s="3">
        <f t="shared" si="6"/>
        <v>0.25392176186779</v>
      </c>
      <c r="P36" s="3">
        <f t="shared" si="6"/>
        <v>0.24564192203759</v>
      </c>
      <c r="Q36" s="3">
        <f t="shared" si="6"/>
        <v>0.240322750147077</v>
      </c>
      <c r="R36" s="3">
        <f t="shared" si="6"/>
        <v>0.235003578256565</v>
      </c>
      <c r="S36" s="3">
        <f t="shared" si="5"/>
        <v>0.229684406366052</v>
      </c>
      <c r="T36" s="3">
        <f t="shared" si="5"/>
        <v>0.22436523447554</v>
      </c>
      <c r="U36" s="3">
        <f t="shared" si="5"/>
        <v>0.219046062585028</v>
      </c>
      <c r="V36" s="3">
        <f t="shared" si="5"/>
        <v>0.212555993271778</v>
      </c>
      <c r="W36" s="3">
        <f t="shared" si="5"/>
        <v>0.206065923958528</v>
      </c>
      <c r="X36" s="3">
        <f t="shared" si="5"/>
        <v>0.199575854645277</v>
      </c>
      <c r="Y36" s="3">
        <f t="shared" si="5"/>
        <v>0.193085785332027</v>
      </c>
      <c r="Z36" s="3">
        <f t="shared" si="5"/>
        <v>0.186595716018777</v>
      </c>
      <c r="AA36" s="3">
        <f t="shared" si="8"/>
        <v>0.181685440821114</v>
      </c>
      <c r="AB36" s="3">
        <f t="shared" si="8"/>
        <v>0.176775165623451</v>
      </c>
      <c r="AC36" s="3">
        <f t="shared" si="8"/>
        <v>0.171864890425787</v>
      </c>
      <c r="AD36" s="3">
        <f t="shared" si="8"/>
        <v>0.166954615228124</v>
      </c>
      <c r="AE36" s="3">
        <f t="shared" si="8"/>
        <v>0.16204434003046</v>
      </c>
      <c r="AF36" s="3">
        <f t="shared" si="8"/>
        <v>0.140893728011316</v>
      </c>
      <c r="AG36" s="3">
        <f t="shared" si="8"/>
        <v>0.119743115992173</v>
      </c>
      <c r="AH36" s="3">
        <f t="shared" si="8"/>
        <v>0.0985925039730288</v>
      </c>
      <c r="AI36" s="3">
        <f t="shared" si="8"/>
        <v>0.0774418919538849</v>
      </c>
      <c r="AJ36" s="3">
        <f t="shared" si="8"/>
        <v>0.0562912799347411</v>
      </c>
    </row>
    <row r="37" spans="1:36">
      <c r="A37" t="str">
        <f>"semis_archetype_"&amp;TEXT(ROUND(Table269[[#This Row],[2016]],3),"0.000")</f>
        <v>semis_archetype_0.340</v>
      </c>
      <c r="B37" s="3">
        <f t="shared" si="2"/>
        <v>0.34</v>
      </c>
      <c r="C37" s="3">
        <f t="shared" si="6"/>
        <v>0.34</v>
      </c>
      <c r="D37" s="3">
        <f t="shared" si="6"/>
        <v>0.34</v>
      </c>
      <c r="E37" s="3">
        <f t="shared" si="6"/>
        <v>0.331863554519445</v>
      </c>
      <c r="F37" s="3">
        <f t="shared" si="6"/>
        <v>0.323727109038892</v>
      </c>
      <c r="G37" s="3">
        <f t="shared" si="6"/>
        <v>0.315590663558337</v>
      </c>
      <c r="H37" s="3">
        <f t="shared" si="6"/>
        <v>0.307454218077782</v>
      </c>
      <c r="I37" s="3">
        <f t="shared" si="6"/>
        <v>0.299317772597228</v>
      </c>
      <c r="J37" s="3">
        <f t="shared" si="6"/>
        <v>0.291181327116673</v>
      </c>
      <c r="K37" s="3">
        <f t="shared" si="6"/>
        <v>0.283044881636119</v>
      </c>
      <c r="L37" s="3">
        <f t="shared" si="6"/>
        <v>0.274908436155564</v>
      </c>
      <c r="M37" s="3">
        <f t="shared" si="6"/>
        <v>0.26677199067501</v>
      </c>
      <c r="N37" s="3">
        <f t="shared" si="6"/>
        <v>0.258635545194455</v>
      </c>
      <c r="O37" s="3">
        <f t="shared" si="6"/>
        <v>0.250499099713901</v>
      </c>
      <c r="P37" s="3">
        <f t="shared" si="6"/>
        <v>0.242362654233346</v>
      </c>
      <c r="Q37" s="3">
        <f t="shared" si="6"/>
        <v>0.237135602384953</v>
      </c>
      <c r="R37" s="3">
        <f t="shared" si="6"/>
        <v>0.23190855053656</v>
      </c>
      <c r="S37" s="3">
        <f t="shared" si="5"/>
        <v>0.226681498688167</v>
      </c>
      <c r="T37" s="3">
        <f t="shared" si="5"/>
        <v>0.221454446839773</v>
      </c>
      <c r="U37" s="3">
        <f t="shared" si="5"/>
        <v>0.21622739499138</v>
      </c>
      <c r="V37" s="3">
        <f t="shared" si="5"/>
        <v>0.209849723899281</v>
      </c>
      <c r="W37" s="3">
        <f t="shared" si="5"/>
        <v>0.203472052807183</v>
      </c>
      <c r="X37" s="3">
        <f t="shared" si="5"/>
        <v>0.197094381715084</v>
      </c>
      <c r="Y37" s="3">
        <f t="shared" si="5"/>
        <v>0.190716710622986</v>
      </c>
      <c r="Z37" s="3">
        <f t="shared" si="5"/>
        <v>0.184339039530887</v>
      </c>
      <c r="AA37" s="3">
        <f t="shared" si="8"/>
        <v>0.179513802900756</v>
      </c>
      <c r="AB37" s="3">
        <f t="shared" si="8"/>
        <v>0.174688566270624</v>
      </c>
      <c r="AC37" s="3">
        <f t="shared" si="8"/>
        <v>0.169863329640493</v>
      </c>
      <c r="AD37" s="3">
        <f t="shared" si="8"/>
        <v>0.165038093010361</v>
      </c>
      <c r="AE37" s="3">
        <f t="shared" si="8"/>
        <v>0.16021285638023</v>
      </c>
      <c r="AF37" s="3">
        <f t="shared" si="8"/>
        <v>0.139428541091132</v>
      </c>
      <c r="AG37" s="3">
        <f t="shared" si="8"/>
        <v>0.118644225802034</v>
      </c>
      <c r="AH37" s="3">
        <f t="shared" si="8"/>
        <v>0.0978599105129364</v>
      </c>
      <c r="AI37" s="3">
        <f t="shared" si="8"/>
        <v>0.0770755952238387</v>
      </c>
      <c r="AJ37" s="3">
        <f t="shared" si="8"/>
        <v>0.0562912799347411</v>
      </c>
    </row>
    <row r="38" spans="1:36">
      <c r="A38" t="str">
        <f>"semis_archetype_"&amp;TEXT(ROUND(Table269[[#This Row],[2016]],3),"0.000")</f>
        <v>semis_archetype_0.335</v>
      </c>
      <c r="B38" s="3">
        <f t="shared" si="2"/>
        <v>0.335</v>
      </c>
      <c r="C38" s="3">
        <f t="shared" si="6"/>
        <v>0.335</v>
      </c>
      <c r="D38" s="3">
        <f t="shared" si="6"/>
        <v>0.335</v>
      </c>
      <c r="E38" s="3">
        <f t="shared" si="6"/>
        <v>0.327006948869092</v>
      </c>
      <c r="F38" s="3">
        <f t="shared" si="6"/>
        <v>0.319013897738184</v>
      </c>
      <c r="G38" s="3">
        <f t="shared" si="6"/>
        <v>0.311020846607276</v>
      </c>
      <c r="H38" s="3">
        <f t="shared" si="6"/>
        <v>0.303027795476368</v>
      </c>
      <c r="I38" s="3">
        <f t="shared" si="6"/>
        <v>0.29503474434546</v>
      </c>
      <c r="J38" s="3">
        <f t="shared" si="6"/>
        <v>0.287041693214552</v>
      </c>
      <c r="K38" s="3">
        <f t="shared" si="6"/>
        <v>0.279048642083643</v>
      </c>
      <c r="L38" s="3">
        <f t="shared" si="6"/>
        <v>0.271055590952735</v>
      </c>
      <c r="M38" s="3">
        <f t="shared" si="6"/>
        <v>0.263062539821827</v>
      </c>
      <c r="N38" s="3">
        <f t="shared" si="6"/>
        <v>0.255069488690919</v>
      </c>
      <c r="O38" s="3">
        <f t="shared" si="6"/>
        <v>0.247076437560011</v>
      </c>
      <c r="P38" s="3">
        <f t="shared" si="6"/>
        <v>0.239083386429103</v>
      </c>
      <c r="Q38" s="3">
        <f t="shared" si="6"/>
        <v>0.233948454622829</v>
      </c>
      <c r="R38" s="3">
        <f t="shared" si="6"/>
        <v>0.228813522816555</v>
      </c>
      <c r="S38" s="3">
        <f t="shared" si="5"/>
        <v>0.223678591010281</v>
      </c>
      <c r="T38" s="3">
        <f t="shared" si="5"/>
        <v>0.218543659204007</v>
      </c>
      <c r="U38" s="3">
        <f t="shared" si="5"/>
        <v>0.213408727397732</v>
      </c>
      <c r="V38" s="3">
        <f t="shared" si="5"/>
        <v>0.207143454526785</v>
      </c>
      <c r="W38" s="3">
        <f t="shared" si="5"/>
        <v>0.200878181655838</v>
      </c>
      <c r="X38" s="3">
        <f t="shared" si="5"/>
        <v>0.194612908784891</v>
      </c>
      <c r="Y38" s="3">
        <f t="shared" si="5"/>
        <v>0.188347635913944</v>
      </c>
      <c r="Z38" s="3">
        <f t="shared" si="5"/>
        <v>0.182082363042997</v>
      </c>
      <c r="AA38" s="3">
        <f t="shared" si="8"/>
        <v>0.177342164980397</v>
      </c>
      <c r="AB38" s="3">
        <f t="shared" si="8"/>
        <v>0.172601966917798</v>
      </c>
      <c r="AC38" s="3">
        <f t="shared" si="8"/>
        <v>0.167861768855198</v>
      </c>
      <c r="AD38" s="3">
        <f t="shared" si="8"/>
        <v>0.163121570792598</v>
      </c>
      <c r="AE38" s="3">
        <f t="shared" si="8"/>
        <v>0.158381372729999</v>
      </c>
      <c r="AF38" s="3">
        <f t="shared" si="8"/>
        <v>0.137963354170947</v>
      </c>
      <c r="AG38" s="3">
        <f t="shared" si="8"/>
        <v>0.117545335611896</v>
      </c>
      <c r="AH38" s="3">
        <f t="shared" si="8"/>
        <v>0.0971273170528441</v>
      </c>
      <c r="AI38" s="3">
        <f t="shared" si="8"/>
        <v>0.0767092984937926</v>
      </c>
      <c r="AJ38" s="3">
        <f t="shared" si="8"/>
        <v>0.0562912799347411</v>
      </c>
    </row>
    <row r="39" spans="1:36">
      <c r="A39" t="str">
        <f>"semis_archetype_"&amp;TEXT(ROUND(Table269[[#This Row],[2016]],3),"0.000")</f>
        <v>semis_archetype_0.330</v>
      </c>
      <c r="B39" s="3">
        <f t="shared" si="2"/>
        <v>0.33</v>
      </c>
      <c r="C39" s="3">
        <f t="shared" si="6"/>
        <v>0.33</v>
      </c>
      <c r="D39" s="3">
        <f t="shared" si="6"/>
        <v>0.33</v>
      </c>
      <c r="E39" s="3">
        <f t="shared" si="6"/>
        <v>0.322150343218738</v>
      </c>
      <c r="F39" s="3">
        <f t="shared" si="6"/>
        <v>0.314300686437477</v>
      </c>
      <c r="G39" s="3">
        <f t="shared" si="6"/>
        <v>0.306451029656215</v>
      </c>
      <c r="H39" s="3">
        <f t="shared" si="6"/>
        <v>0.298601372874953</v>
      </c>
      <c r="I39" s="3">
        <f t="shared" si="6"/>
        <v>0.290751716093692</v>
      </c>
      <c r="J39" s="3">
        <f t="shared" si="6"/>
        <v>0.28290205931243</v>
      </c>
      <c r="K39" s="3">
        <f t="shared" si="6"/>
        <v>0.275052402531168</v>
      </c>
      <c r="L39" s="3">
        <f t="shared" si="6"/>
        <v>0.267202745749907</v>
      </c>
      <c r="M39" s="3">
        <f t="shared" si="6"/>
        <v>0.259353088968645</v>
      </c>
      <c r="N39" s="3">
        <f t="shared" si="6"/>
        <v>0.251503432187383</v>
      </c>
      <c r="O39" s="3">
        <f t="shared" si="6"/>
        <v>0.243653775406122</v>
      </c>
      <c r="P39" s="3">
        <f t="shared" si="6"/>
        <v>0.23580411862486</v>
      </c>
      <c r="Q39" s="3">
        <f t="shared" si="6"/>
        <v>0.230761306860705</v>
      </c>
      <c r="R39" s="3">
        <f t="shared" si="6"/>
        <v>0.22571849509655</v>
      </c>
      <c r="S39" s="3">
        <f t="shared" si="5"/>
        <v>0.220675683332395</v>
      </c>
      <c r="T39" s="3">
        <f t="shared" si="5"/>
        <v>0.21563287156824</v>
      </c>
      <c r="U39" s="3">
        <f t="shared" si="5"/>
        <v>0.210590059804085</v>
      </c>
      <c r="V39" s="3">
        <f t="shared" si="5"/>
        <v>0.204437185154289</v>
      </c>
      <c r="W39" s="3">
        <f t="shared" si="5"/>
        <v>0.198284310504493</v>
      </c>
      <c r="X39" s="3">
        <f t="shared" si="5"/>
        <v>0.192131435854698</v>
      </c>
      <c r="Y39" s="3">
        <f t="shared" si="5"/>
        <v>0.185978561204902</v>
      </c>
      <c r="Z39" s="3">
        <f t="shared" si="5"/>
        <v>0.179825686555106</v>
      </c>
      <c r="AA39" s="3">
        <f t="shared" si="8"/>
        <v>0.175170527060039</v>
      </c>
      <c r="AB39" s="3">
        <f t="shared" si="8"/>
        <v>0.170515367564971</v>
      </c>
      <c r="AC39" s="3">
        <f t="shared" si="8"/>
        <v>0.165860208069903</v>
      </c>
      <c r="AD39" s="3">
        <f t="shared" si="8"/>
        <v>0.161205048574836</v>
      </c>
      <c r="AE39" s="3">
        <f t="shared" si="8"/>
        <v>0.156549889079768</v>
      </c>
      <c r="AF39" s="3">
        <f t="shared" si="8"/>
        <v>0.136498167250762</v>
      </c>
      <c r="AG39" s="3">
        <f t="shared" si="8"/>
        <v>0.116446445421757</v>
      </c>
      <c r="AH39" s="3">
        <f t="shared" si="8"/>
        <v>0.0963947235927518</v>
      </c>
      <c r="AI39" s="3">
        <f t="shared" si="8"/>
        <v>0.0763430017637464</v>
      </c>
      <c r="AJ39" s="3">
        <f t="shared" si="8"/>
        <v>0.0562912799347411</v>
      </c>
    </row>
    <row r="40" spans="1:36">
      <c r="A40" t="str">
        <f>"semis_archetype_"&amp;TEXT(ROUND(Table269[[#This Row],[2016]],3),"0.000")</f>
        <v>semis_archetype_0.325</v>
      </c>
      <c r="B40" s="3">
        <f t="shared" si="2"/>
        <v>0.325</v>
      </c>
      <c r="C40" s="3">
        <f t="shared" si="6"/>
        <v>0.325</v>
      </c>
      <c r="D40" s="3">
        <f t="shared" si="6"/>
        <v>0.325</v>
      </c>
      <c r="E40" s="3">
        <f t="shared" si="6"/>
        <v>0.317293737568385</v>
      </c>
      <c r="F40" s="3">
        <f t="shared" si="6"/>
        <v>0.30958747513677</v>
      </c>
      <c r="G40" s="3">
        <f t="shared" si="6"/>
        <v>0.301881212705154</v>
      </c>
      <c r="H40" s="3">
        <f t="shared" si="6"/>
        <v>0.294174950273539</v>
      </c>
      <c r="I40" s="3">
        <f t="shared" si="6"/>
        <v>0.286468687841924</v>
      </c>
      <c r="J40" s="3">
        <f t="shared" si="6"/>
        <v>0.278762425410308</v>
      </c>
      <c r="K40" s="3">
        <f t="shared" si="6"/>
        <v>0.271056162978693</v>
      </c>
      <c r="L40" s="3">
        <f t="shared" si="6"/>
        <v>0.263349900547078</v>
      </c>
      <c r="M40" s="3">
        <f t="shared" si="6"/>
        <v>0.255643638115463</v>
      </c>
      <c r="N40" s="3">
        <f t="shared" si="6"/>
        <v>0.247937375683847</v>
      </c>
      <c r="O40" s="3">
        <f t="shared" si="6"/>
        <v>0.240231113252232</v>
      </c>
      <c r="P40" s="3">
        <f t="shared" si="6"/>
        <v>0.232524850820617</v>
      </c>
      <c r="Q40" s="3">
        <f t="shared" si="6"/>
        <v>0.227574159098581</v>
      </c>
      <c r="R40" s="3">
        <f t="shared" si="6"/>
        <v>0.222623467376545</v>
      </c>
      <c r="S40" s="3">
        <f t="shared" si="5"/>
        <v>0.217672775654509</v>
      </c>
      <c r="T40" s="3">
        <f t="shared" si="5"/>
        <v>0.212722083932473</v>
      </c>
      <c r="U40" s="3">
        <f t="shared" si="5"/>
        <v>0.207771392210437</v>
      </c>
      <c r="V40" s="3">
        <f t="shared" si="5"/>
        <v>0.201730915781793</v>
      </c>
      <c r="W40" s="3">
        <f t="shared" si="5"/>
        <v>0.195690439353149</v>
      </c>
      <c r="X40" s="3">
        <f t="shared" si="5"/>
        <v>0.189649962924504</v>
      </c>
      <c r="Y40" s="3">
        <f t="shared" si="5"/>
        <v>0.18360948649586</v>
      </c>
      <c r="Z40" s="3">
        <f t="shared" si="5"/>
        <v>0.177569010067216</v>
      </c>
      <c r="AA40" s="3">
        <f t="shared" si="8"/>
        <v>0.17299888913968</v>
      </c>
      <c r="AB40" s="3">
        <f t="shared" si="8"/>
        <v>0.168428768212144</v>
      </c>
      <c r="AC40" s="3">
        <f t="shared" si="8"/>
        <v>0.163858647284609</v>
      </c>
      <c r="AD40" s="3">
        <f t="shared" si="8"/>
        <v>0.159288526357073</v>
      </c>
      <c r="AE40" s="3">
        <f t="shared" si="8"/>
        <v>0.154718405429537</v>
      </c>
      <c r="AF40" s="3">
        <f t="shared" si="8"/>
        <v>0.135032980330578</v>
      </c>
      <c r="AG40" s="3">
        <f t="shared" si="8"/>
        <v>0.115347555231619</v>
      </c>
      <c r="AH40" s="3">
        <f t="shared" si="8"/>
        <v>0.0956621301326594</v>
      </c>
      <c r="AI40" s="3">
        <f t="shared" si="8"/>
        <v>0.0759767050337002</v>
      </c>
      <c r="AJ40" s="3">
        <f t="shared" si="8"/>
        <v>0.0562912799347411</v>
      </c>
    </row>
    <row r="41" spans="1:36">
      <c r="A41" t="str">
        <f>"semis_archetype_"&amp;TEXT(ROUND(Table269[[#This Row],[2016]],3),"0.000")</f>
        <v>semis_archetype_0.320</v>
      </c>
      <c r="B41" s="3">
        <f t="shared" si="2"/>
        <v>0.32</v>
      </c>
      <c r="C41" s="3">
        <f t="shared" si="6"/>
        <v>0.32</v>
      </c>
      <c r="D41" s="3">
        <f t="shared" si="6"/>
        <v>0.32</v>
      </c>
      <c r="E41" s="3">
        <f t="shared" si="6"/>
        <v>0.312437131918031</v>
      </c>
      <c r="F41" s="3">
        <f t="shared" si="6"/>
        <v>0.304874263836063</v>
      </c>
      <c r="G41" s="3">
        <f t="shared" si="6"/>
        <v>0.297311395754093</v>
      </c>
      <c r="H41" s="3">
        <f t="shared" si="6"/>
        <v>0.289748527672125</v>
      </c>
      <c r="I41" s="3">
        <f t="shared" si="6"/>
        <v>0.282185659590156</v>
      </c>
      <c r="J41" s="3">
        <f t="shared" si="6"/>
        <v>0.274622791508187</v>
      </c>
      <c r="K41" s="3">
        <f t="shared" si="6"/>
        <v>0.267059923426218</v>
      </c>
      <c r="L41" s="3">
        <f t="shared" si="6"/>
        <v>0.259497055344249</v>
      </c>
      <c r="M41" s="3">
        <f t="shared" si="6"/>
        <v>0.25193418726228</v>
      </c>
      <c r="N41" s="3">
        <f t="shared" si="6"/>
        <v>0.244371319180312</v>
      </c>
      <c r="O41" s="3">
        <f t="shared" si="6"/>
        <v>0.236808451098343</v>
      </c>
      <c r="P41" s="3">
        <f t="shared" si="6"/>
        <v>0.229245583016374</v>
      </c>
      <c r="Q41" s="3">
        <f t="shared" si="6"/>
        <v>0.224387011336457</v>
      </c>
      <c r="R41" s="3">
        <f t="shared" si="6"/>
        <v>0.21952843965654</v>
      </c>
      <c r="S41" s="3">
        <f t="shared" si="5"/>
        <v>0.214669867976623</v>
      </c>
      <c r="T41" s="3">
        <f t="shared" si="5"/>
        <v>0.209811296296706</v>
      </c>
      <c r="U41" s="3">
        <f t="shared" si="5"/>
        <v>0.204952724616789</v>
      </c>
      <c r="V41" s="3">
        <f t="shared" si="5"/>
        <v>0.199024646409297</v>
      </c>
      <c r="W41" s="3">
        <f t="shared" si="5"/>
        <v>0.193096568201804</v>
      </c>
      <c r="X41" s="3">
        <f t="shared" si="5"/>
        <v>0.187168489994311</v>
      </c>
      <c r="Y41" s="3">
        <f t="shared" si="5"/>
        <v>0.181240411786818</v>
      </c>
      <c r="Z41" s="3">
        <f t="shared" si="5"/>
        <v>0.175312333579326</v>
      </c>
      <c r="AA41" s="3">
        <f t="shared" si="8"/>
        <v>0.170827251219322</v>
      </c>
      <c r="AB41" s="3">
        <f t="shared" si="8"/>
        <v>0.166342168859318</v>
      </c>
      <c r="AC41" s="3">
        <f t="shared" si="8"/>
        <v>0.161857086499314</v>
      </c>
      <c r="AD41" s="3">
        <f t="shared" si="8"/>
        <v>0.15737200413931</v>
      </c>
      <c r="AE41" s="3">
        <f t="shared" si="8"/>
        <v>0.152886921779306</v>
      </c>
      <c r="AF41" s="3">
        <f t="shared" si="8"/>
        <v>0.133567793410393</v>
      </c>
      <c r="AG41" s="3">
        <f t="shared" si="8"/>
        <v>0.11424866504148</v>
      </c>
      <c r="AH41" s="3">
        <f t="shared" si="8"/>
        <v>0.0949295366725671</v>
      </c>
      <c r="AI41" s="3">
        <f t="shared" si="8"/>
        <v>0.0756104083036541</v>
      </c>
      <c r="AJ41" s="3">
        <f t="shared" si="8"/>
        <v>0.0562912799347411</v>
      </c>
    </row>
    <row r="42" spans="1:36">
      <c r="A42" t="str">
        <f>"semis_archetype_"&amp;TEXT(ROUND(Table269[[#This Row],[2016]],3),"0.000")</f>
        <v>semis_archetype_0.315</v>
      </c>
      <c r="B42" s="3">
        <f t="shared" si="2"/>
        <v>0.315</v>
      </c>
      <c r="C42" s="3">
        <f t="shared" si="6"/>
        <v>0.315</v>
      </c>
      <c r="D42" s="3">
        <f t="shared" si="6"/>
        <v>0.315</v>
      </c>
      <c r="E42" s="3">
        <f t="shared" si="6"/>
        <v>0.307580526267678</v>
      </c>
      <c r="F42" s="3">
        <f t="shared" si="6"/>
        <v>0.300161052535356</v>
      </c>
      <c r="G42" s="3">
        <f t="shared" si="6"/>
        <v>0.292741578803033</v>
      </c>
      <c r="H42" s="3">
        <f t="shared" si="6"/>
        <v>0.28532210507071</v>
      </c>
      <c r="I42" s="3">
        <f t="shared" si="6"/>
        <v>0.277902631338388</v>
      </c>
      <c r="J42" s="3">
        <f t="shared" si="6"/>
        <v>0.270483157606065</v>
      </c>
      <c r="K42" s="3">
        <f t="shared" si="6"/>
        <v>0.263063683873743</v>
      </c>
      <c r="L42" s="3">
        <f t="shared" si="6"/>
        <v>0.25564421014142</v>
      </c>
      <c r="M42" s="3">
        <f t="shared" si="6"/>
        <v>0.248224736409098</v>
      </c>
      <c r="N42" s="3">
        <f t="shared" si="6"/>
        <v>0.240805262676776</v>
      </c>
      <c r="O42" s="3">
        <f t="shared" si="6"/>
        <v>0.233385788944453</v>
      </c>
      <c r="P42" s="3">
        <f t="shared" si="6"/>
        <v>0.225966315212131</v>
      </c>
      <c r="Q42" s="3">
        <f t="shared" si="6"/>
        <v>0.221199863574333</v>
      </c>
      <c r="R42" s="3">
        <f t="shared" si="6"/>
        <v>0.216433411936535</v>
      </c>
      <c r="S42" s="3">
        <f t="shared" si="5"/>
        <v>0.211666960298737</v>
      </c>
      <c r="T42" s="3">
        <f t="shared" si="5"/>
        <v>0.20690050866094</v>
      </c>
      <c r="U42" s="3">
        <f t="shared" si="5"/>
        <v>0.202134057023142</v>
      </c>
      <c r="V42" s="3">
        <f t="shared" si="5"/>
        <v>0.196318377036801</v>
      </c>
      <c r="W42" s="3">
        <f t="shared" si="5"/>
        <v>0.190502697050459</v>
      </c>
      <c r="X42" s="3">
        <f t="shared" si="5"/>
        <v>0.184687017064118</v>
      </c>
      <c r="Y42" s="3">
        <f t="shared" si="5"/>
        <v>0.178871337077777</v>
      </c>
      <c r="Z42" s="3">
        <f t="shared" si="5"/>
        <v>0.173055657091435</v>
      </c>
      <c r="AA42" s="3">
        <f t="shared" si="8"/>
        <v>0.168655613298963</v>
      </c>
      <c r="AB42" s="3">
        <f t="shared" si="8"/>
        <v>0.164255569506491</v>
      </c>
      <c r="AC42" s="3">
        <f t="shared" si="8"/>
        <v>0.159855525714019</v>
      </c>
      <c r="AD42" s="3">
        <f t="shared" si="8"/>
        <v>0.155455481921547</v>
      </c>
      <c r="AE42" s="3">
        <f t="shared" si="8"/>
        <v>0.151055438129075</v>
      </c>
      <c r="AF42" s="3">
        <f t="shared" si="8"/>
        <v>0.132102606490208</v>
      </c>
      <c r="AG42" s="3">
        <f t="shared" si="8"/>
        <v>0.113149774851342</v>
      </c>
      <c r="AH42" s="3">
        <f t="shared" si="8"/>
        <v>0.0941969432124747</v>
      </c>
      <c r="AI42" s="3">
        <f t="shared" si="8"/>
        <v>0.0752441115736079</v>
      </c>
      <c r="AJ42" s="3">
        <f t="shared" si="8"/>
        <v>0.0562912799347411</v>
      </c>
    </row>
    <row r="43" spans="1:36">
      <c r="A43" t="str">
        <f>"semis_archetype_"&amp;TEXT(ROUND(Table269[[#This Row],[2016]],3),"0.000")</f>
        <v>semis_archetype_0.310</v>
      </c>
      <c r="B43" s="3">
        <f t="shared" si="2"/>
        <v>0.31</v>
      </c>
      <c r="C43" s="3">
        <f t="shared" si="6"/>
        <v>0.31</v>
      </c>
      <c r="D43" s="3">
        <f t="shared" si="6"/>
        <v>0.31</v>
      </c>
      <c r="E43" s="3">
        <f t="shared" si="6"/>
        <v>0.302723920617324</v>
      </c>
      <c r="F43" s="3">
        <f t="shared" si="6"/>
        <v>0.295447841234648</v>
      </c>
      <c r="G43" s="3">
        <f t="shared" si="6"/>
        <v>0.288171761851972</v>
      </c>
      <c r="H43" s="3">
        <f t="shared" si="6"/>
        <v>0.280895682469296</v>
      </c>
      <c r="I43" s="3">
        <f t="shared" si="6"/>
        <v>0.27361960308662</v>
      </c>
      <c r="J43" s="3">
        <f t="shared" si="6"/>
        <v>0.266343523703944</v>
      </c>
      <c r="K43" s="3">
        <f t="shared" si="6"/>
        <v>0.259067444321268</v>
      </c>
      <c r="L43" s="3">
        <f t="shared" si="6"/>
        <v>0.251791364938592</v>
      </c>
      <c r="M43" s="3">
        <f t="shared" si="6"/>
        <v>0.244515285555916</v>
      </c>
      <c r="N43" s="3">
        <f t="shared" si="6"/>
        <v>0.23723920617324</v>
      </c>
      <c r="O43" s="3">
        <f t="shared" si="6"/>
        <v>0.229963126790564</v>
      </c>
      <c r="P43" s="3">
        <f t="shared" si="6"/>
        <v>0.222687047407888</v>
      </c>
      <c r="Q43" s="3">
        <f t="shared" si="6"/>
        <v>0.218012715812209</v>
      </c>
      <c r="R43" s="3">
        <f t="shared" si="6"/>
        <v>0.21333838421653</v>
      </c>
      <c r="S43" s="3">
        <f t="shared" si="5"/>
        <v>0.208664052620852</v>
      </c>
      <c r="T43" s="3">
        <f t="shared" si="5"/>
        <v>0.203989721025173</v>
      </c>
      <c r="U43" s="3">
        <f t="shared" si="5"/>
        <v>0.199315389429494</v>
      </c>
      <c r="V43" s="3">
        <f t="shared" si="5"/>
        <v>0.193612107664304</v>
      </c>
      <c r="W43" s="3">
        <f t="shared" si="5"/>
        <v>0.187908825899115</v>
      </c>
      <c r="X43" s="3">
        <f t="shared" si="5"/>
        <v>0.182205544133925</v>
      </c>
      <c r="Y43" s="3">
        <f t="shared" si="5"/>
        <v>0.176502262368735</v>
      </c>
      <c r="Z43" s="3">
        <f t="shared" si="5"/>
        <v>0.170798980603545</v>
      </c>
      <c r="AA43" s="3">
        <f t="shared" si="8"/>
        <v>0.166483975378605</v>
      </c>
      <c r="AB43" s="3">
        <f t="shared" si="8"/>
        <v>0.162168970153665</v>
      </c>
      <c r="AC43" s="3">
        <f t="shared" si="8"/>
        <v>0.157853964928725</v>
      </c>
      <c r="AD43" s="3">
        <f t="shared" si="8"/>
        <v>0.153538959703785</v>
      </c>
      <c r="AE43" s="3">
        <f t="shared" si="8"/>
        <v>0.149223954478844</v>
      </c>
      <c r="AF43" s="3">
        <f t="shared" si="8"/>
        <v>0.130637419570024</v>
      </c>
      <c r="AG43" s="3">
        <f t="shared" si="8"/>
        <v>0.112050884661203</v>
      </c>
      <c r="AH43" s="3">
        <f t="shared" si="8"/>
        <v>0.0934643497523824</v>
      </c>
      <c r="AI43" s="3">
        <f t="shared" si="8"/>
        <v>0.0748778148435617</v>
      </c>
      <c r="AJ43" s="3">
        <f t="shared" si="8"/>
        <v>0.0562912799347411</v>
      </c>
    </row>
    <row r="44" spans="1:36">
      <c r="A44" t="str">
        <f>"semis_archetype_"&amp;TEXT(ROUND(Table269[[#This Row],[2016]],3),"0.000")</f>
        <v>semis_archetype_0.305</v>
      </c>
      <c r="B44" s="3">
        <f t="shared" si="2"/>
        <v>0.305</v>
      </c>
      <c r="C44" s="3">
        <f t="shared" si="6"/>
        <v>0.305</v>
      </c>
      <c r="D44" s="3">
        <f t="shared" si="6"/>
        <v>0.305</v>
      </c>
      <c r="E44" s="3">
        <f t="shared" si="6"/>
        <v>0.29786731496697</v>
      </c>
      <c r="F44" s="3">
        <f t="shared" si="6"/>
        <v>0.290734629933941</v>
      </c>
      <c r="G44" s="3">
        <f t="shared" si="6"/>
        <v>0.283601944900911</v>
      </c>
      <c r="H44" s="3">
        <f t="shared" si="6"/>
        <v>0.276469259867882</v>
      </c>
      <c r="I44" s="3">
        <f t="shared" si="6"/>
        <v>0.269336574834852</v>
      </c>
      <c r="J44" s="3">
        <f t="shared" si="6"/>
        <v>0.262203889801822</v>
      </c>
      <c r="K44" s="3">
        <f t="shared" si="6"/>
        <v>0.255071204768793</v>
      </c>
      <c r="L44" s="3">
        <f t="shared" si="6"/>
        <v>0.247938519735763</v>
      </c>
      <c r="M44" s="3">
        <f t="shared" si="6"/>
        <v>0.240805834702733</v>
      </c>
      <c r="N44" s="3">
        <f t="shared" si="6"/>
        <v>0.233673149669704</v>
      </c>
      <c r="O44" s="3">
        <f t="shared" si="6"/>
        <v>0.226540464636674</v>
      </c>
      <c r="P44" s="3">
        <f t="shared" si="6"/>
        <v>0.219407779603645</v>
      </c>
      <c r="Q44" s="3">
        <f t="shared" si="6"/>
        <v>0.214825568050085</v>
      </c>
      <c r="R44" s="3">
        <f t="shared" ref="R44:AG59" si="9">(($B44-$AJ$2)*((R$2-$AJ$2)/($B$2-$AJ$2)))+$AJ$2</f>
        <v>0.210243356496525</v>
      </c>
      <c r="S44" s="3">
        <f t="shared" si="9"/>
        <v>0.205661144942966</v>
      </c>
      <c r="T44" s="3">
        <f t="shared" si="9"/>
        <v>0.201078933389406</v>
      </c>
      <c r="U44" s="3">
        <f t="shared" si="9"/>
        <v>0.196496721835847</v>
      </c>
      <c r="V44" s="3">
        <f t="shared" si="9"/>
        <v>0.190905838291808</v>
      </c>
      <c r="W44" s="3">
        <f t="shared" si="9"/>
        <v>0.18531495474777</v>
      </c>
      <c r="X44" s="3">
        <f t="shared" si="9"/>
        <v>0.179724071203731</v>
      </c>
      <c r="Y44" s="3">
        <f t="shared" si="9"/>
        <v>0.174133187659693</v>
      </c>
      <c r="Z44" s="3">
        <f t="shared" si="9"/>
        <v>0.168542304115655</v>
      </c>
      <c r="AA44" s="3">
        <f t="shared" si="9"/>
        <v>0.164312337458246</v>
      </c>
      <c r="AB44" s="3">
        <f t="shared" si="9"/>
        <v>0.160082370800838</v>
      </c>
      <c r="AC44" s="3">
        <f t="shared" si="9"/>
        <v>0.15585240414343</v>
      </c>
      <c r="AD44" s="3">
        <f t="shared" si="9"/>
        <v>0.151622437486022</v>
      </c>
      <c r="AE44" s="3">
        <f t="shared" si="9"/>
        <v>0.147392470828614</v>
      </c>
      <c r="AF44" s="3">
        <f t="shared" si="9"/>
        <v>0.129172232649839</v>
      </c>
      <c r="AG44" s="3">
        <f t="shared" si="9"/>
        <v>0.110951994471065</v>
      </c>
      <c r="AH44" s="3">
        <f t="shared" si="8"/>
        <v>0.0927317562922901</v>
      </c>
      <c r="AI44" s="3">
        <f t="shared" si="8"/>
        <v>0.0745115181135156</v>
      </c>
      <c r="AJ44" s="3">
        <f t="shared" si="8"/>
        <v>0.0562912799347411</v>
      </c>
    </row>
    <row r="45" spans="1:36">
      <c r="A45" t="str">
        <f>"semis_archetype_"&amp;TEXT(ROUND(Table269[[#This Row],[2016]],3),"0.000")</f>
        <v>semis_archetype_0.300</v>
      </c>
      <c r="B45" s="3">
        <f t="shared" si="2"/>
        <v>0.3</v>
      </c>
      <c r="C45" s="3">
        <f t="shared" ref="C45:R60" si="10">(($B45-$AJ$2)*((C$2-$AJ$2)/($B$2-$AJ$2)))+$AJ$2</f>
        <v>0.3</v>
      </c>
      <c r="D45" s="3">
        <f t="shared" si="10"/>
        <v>0.3</v>
      </c>
      <c r="E45" s="3">
        <f t="shared" si="10"/>
        <v>0.293010709316617</v>
      </c>
      <c r="F45" s="3">
        <f t="shared" si="10"/>
        <v>0.286021418633234</v>
      </c>
      <c r="G45" s="3">
        <f t="shared" si="10"/>
        <v>0.27903212794985</v>
      </c>
      <c r="H45" s="3">
        <f t="shared" si="10"/>
        <v>0.272042837266467</v>
      </c>
      <c r="I45" s="3">
        <f t="shared" si="10"/>
        <v>0.265053546583084</v>
      </c>
      <c r="J45" s="3">
        <f t="shared" si="10"/>
        <v>0.258064255899701</v>
      </c>
      <c r="K45" s="3">
        <f t="shared" si="10"/>
        <v>0.251074965216317</v>
      </c>
      <c r="L45" s="3">
        <f t="shared" si="10"/>
        <v>0.244085674532934</v>
      </c>
      <c r="M45" s="3">
        <f t="shared" si="10"/>
        <v>0.237096383849551</v>
      </c>
      <c r="N45" s="3">
        <f t="shared" si="10"/>
        <v>0.230107093166168</v>
      </c>
      <c r="O45" s="3">
        <f t="shared" si="10"/>
        <v>0.223117802482785</v>
      </c>
      <c r="P45" s="3">
        <f t="shared" si="10"/>
        <v>0.216128511799401</v>
      </c>
      <c r="Q45" s="3">
        <f t="shared" si="10"/>
        <v>0.211638420287961</v>
      </c>
      <c r="R45" s="3">
        <f t="shared" si="10"/>
        <v>0.20714832877652</v>
      </c>
      <c r="S45" s="3">
        <f t="shared" si="9"/>
        <v>0.20265823726508</v>
      </c>
      <c r="T45" s="3">
        <f t="shared" si="9"/>
        <v>0.198168145753639</v>
      </c>
      <c r="U45" s="3">
        <f t="shared" si="9"/>
        <v>0.193678054242199</v>
      </c>
      <c r="V45" s="3">
        <f t="shared" si="9"/>
        <v>0.188199568919312</v>
      </c>
      <c r="W45" s="3">
        <f t="shared" si="9"/>
        <v>0.182721083596425</v>
      </c>
      <c r="X45" s="3">
        <f t="shared" si="9"/>
        <v>0.177242598273538</v>
      </c>
      <c r="Y45" s="3">
        <f t="shared" si="9"/>
        <v>0.171764112950651</v>
      </c>
      <c r="Z45" s="3">
        <f t="shared" si="9"/>
        <v>0.166285627627764</v>
      </c>
      <c r="AA45" s="3">
        <f t="shared" si="9"/>
        <v>0.162140699537888</v>
      </c>
      <c r="AB45" s="3">
        <f t="shared" si="9"/>
        <v>0.157995771448012</v>
      </c>
      <c r="AC45" s="3">
        <f t="shared" si="9"/>
        <v>0.153850843358135</v>
      </c>
      <c r="AD45" s="3">
        <f t="shared" si="9"/>
        <v>0.149705915268259</v>
      </c>
      <c r="AE45" s="3">
        <f t="shared" si="9"/>
        <v>0.145560987178383</v>
      </c>
      <c r="AF45" s="3">
        <f t="shared" si="9"/>
        <v>0.127707045729654</v>
      </c>
      <c r="AG45" s="3">
        <f t="shared" si="9"/>
        <v>0.109853104280926</v>
      </c>
      <c r="AH45" s="3">
        <f t="shared" si="8"/>
        <v>0.0919991628321977</v>
      </c>
      <c r="AI45" s="3">
        <f t="shared" si="8"/>
        <v>0.0741452213834694</v>
      </c>
      <c r="AJ45" s="3">
        <f t="shared" si="8"/>
        <v>0.0562912799347411</v>
      </c>
    </row>
    <row r="46" spans="1:36">
      <c r="A46" t="str">
        <f>"semis_archetype_"&amp;TEXT(ROUND(Table269[[#This Row],[2016]],3),"0.000")</f>
        <v>semis_archetype_0.295</v>
      </c>
      <c r="B46" s="3">
        <f t="shared" si="2"/>
        <v>0.295</v>
      </c>
      <c r="C46" s="3">
        <f t="shared" si="10"/>
        <v>0.295</v>
      </c>
      <c r="D46" s="3">
        <f t="shared" si="10"/>
        <v>0.295</v>
      </c>
      <c r="E46" s="3">
        <f t="shared" si="10"/>
        <v>0.288154103666263</v>
      </c>
      <c r="F46" s="3">
        <f t="shared" si="10"/>
        <v>0.281308207332527</v>
      </c>
      <c r="G46" s="3">
        <f t="shared" si="10"/>
        <v>0.27446231099879</v>
      </c>
      <c r="H46" s="3">
        <f t="shared" si="10"/>
        <v>0.267616414665053</v>
      </c>
      <c r="I46" s="3">
        <f t="shared" si="10"/>
        <v>0.260770518331316</v>
      </c>
      <c r="J46" s="3">
        <f t="shared" si="10"/>
        <v>0.253924621997579</v>
      </c>
      <c r="K46" s="3">
        <f t="shared" si="10"/>
        <v>0.247078725663842</v>
      </c>
      <c r="L46" s="3">
        <f t="shared" si="10"/>
        <v>0.240232829330105</v>
      </c>
      <c r="M46" s="3">
        <f t="shared" si="10"/>
        <v>0.233386932996369</v>
      </c>
      <c r="N46" s="3">
        <f t="shared" si="10"/>
        <v>0.226541036662632</v>
      </c>
      <c r="O46" s="3">
        <f t="shared" si="10"/>
        <v>0.219695140328895</v>
      </c>
      <c r="P46" s="3">
        <f t="shared" si="10"/>
        <v>0.212849243995158</v>
      </c>
      <c r="Q46" s="3">
        <f t="shared" si="10"/>
        <v>0.208451272525837</v>
      </c>
      <c r="R46" s="3">
        <f t="shared" si="10"/>
        <v>0.204053301056516</v>
      </c>
      <c r="S46" s="3">
        <f t="shared" si="9"/>
        <v>0.199655329587194</v>
      </c>
      <c r="T46" s="3">
        <f t="shared" si="9"/>
        <v>0.195257358117873</v>
      </c>
      <c r="U46" s="3">
        <f t="shared" si="9"/>
        <v>0.190859386648551</v>
      </c>
      <c r="V46" s="3">
        <f t="shared" si="9"/>
        <v>0.185493299546816</v>
      </c>
      <c r="W46" s="3">
        <f t="shared" si="9"/>
        <v>0.18012721244508</v>
      </c>
      <c r="X46" s="3">
        <f t="shared" si="9"/>
        <v>0.174761125343345</v>
      </c>
      <c r="Y46" s="3">
        <f t="shared" si="9"/>
        <v>0.169395038241609</v>
      </c>
      <c r="Z46" s="3">
        <f t="shared" si="9"/>
        <v>0.164028951139874</v>
      </c>
      <c r="AA46" s="3">
        <f t="shared" si="9"/>
        <v>0.15996906161753</v>
      </c>
      <c r="AB46" s="3">
        <f t="shared" si="9"/>
        <v>0.155909172095185</v>
      </c>
      <c r="AC46" s="3">
        <f t="shared" si="9"/>
        <v>0.151849282572841</v>
      </c>
      <c r="AD46" s="3">
        <f t="shared" si="9"/>
        <v>0.147789393050496</v>
      </c>
      <c r="AE46" s="3">
        <f t="shared" si="9"/>
        <v>0.143729503528152</v>
      </c>
      <c r="AF46" s="3">
        <f t="shared" si="9"/>
        <v>0.12624185880947</v>
      </c>
      <c r="AG46" s="3">
        <f t="shared" si="9"/>
        <v>0.108754214090788</v>
      </c>
      <c r="AH46" s="3">
        <f t="shared" si="8"/>
        <v>0.0912665693721054</v>
      </c>
      <c r="AI46" s="3">
        <f t="shared" si="8"/>
        <v>0.0737789246534232</v>
      </c>
      <c r="AJ46" s="3">
        <f t="shared" si="8"/>
        <v>0.0562912799347411</v>
      </c>
    </row>
    <row r="47" spans="1:36">
      <c r="A47" t="str">
        <f>"semis_archetype_"&amp;TEXT(ROUND(Table269[[#This Row],[2016]],3),"0.000")</f>
        <v>semis_archetype_0.290</v>
      </c>
      <c r="B47" s="3">
        <f t="shared" si="2"/>
        <v>0.29</v>
      </c>
      <c r="C47" s="3">
        <f t="shared" si="10"/>
        <v>0.29</v>
      </c>
      <c r="D47" s="3">
        <f t="shared" si="10"/>
        <v>0.29</v>
      </c>
      <c r="E47" s="3">
        <f t="shared" si="10"/>
        <v>0.28329749801591</v>
      </c>
      <c r="F47" s="3">
        <f t="shared" si="10"/>
        <v>0.27659499603182</v>
      </c>
      <c r="G47" s="3">
        <f t="shared" si="10"/>
        <v>0.269892494047729</v>
      </c>
      <c r="H47" s="3">
        <f t="shared" si="10"/>
        <v>0.263189992063638</v>
      </c>
      <c r="I47" s="3">
        <f t="shared" si="10"/>
        <v>0.256487490079548</v>
      </c>
      <c r="J47" s="3">
        <f t="shared" si="10"/>
        <v>0.249784988095458</v>
      </c>
      <c r="K47" s="3">
        <f t="shared" si="10"/>
        <v>0.243082486111367</v>
      </c>
      <c r="L47" s="3">
        <f t="shared" si="10"/>
        <v>0.236379984127277</v>
      </c>
      <c r="M47" s="3">
        <f t="shared" si="10"/>
        <v>0.229677482143186</v>
      </c>
      <c r="N47" s="3">
        <f t="shared" si="10"/>
        <v>0.222974980159096</v>
      </c>
      <c r="O47" s="3">
        <f t="shared" si="10"/>
        <v>0.216272478175006</v>
      </c>
      <c r="P47" s="3">
        <f t="shared" si="10"/>
        <v>0.209569976190915</v>
      </c>
      <c r="Q47" s="3">
        <f t="shared" si="10"/>
        <v>0.205264124763713</v>
      </c>
      <c r="R47" s="3">
        <f t="shared" si="10"/>
        <v>0.200958273336511</v>
      </c>
      <c r="S47" s="3">
        <f t="shared" si="9"/>
        <v>0.196652421909308</v>
      </c>
      <c r="T47" s="3">
        <f t="shared" si="9"/>
        <v>0.192346570482106</v>
      </c>
      <c r="U47" s="3">
        <f t="shared" si="9"/>
        <v>0.188040719054904</v>
      </c>
      <c r="V47" s="3">
        <f t="shared" si="9"/>
        <v>0.18278703017432</v>
      </c>
      <c r="W47" s="3">
        <f t="shared" si="9"/>
        <v>0.177533341293736</v>
      </c>
      <c r="X47" s="3">
        <f t="shared" si="9"/>
        <v>0.172279652413152</v>
      </c>
      <c r="Y47" s="3">
        <f t="shared" si="9"/>
        <v>0.167025963532568</v>
      </c>
      <c r="Z47" s="3">
        <f t="shared" si="9"/>
        <v>0.161772274651984</v>
      </c>
      <c r="AA47" s="3">
        <f t="shared" si="9"/>
        <v>0.157797423697171</v>
      </c>
      <c r="AB47" s="3">
        <f t="shared" si="9"/>
        <v>0.153822572742359</v>
      </c>
      <c r="AC47" s="3">
        <f t="shared" si="9"/>
        <v>0.149847721787546</v>
      </c>
      <c r="AD47" s="3">
        <f t="shared" si="9"/>
        <v>0.145872870832734</v>
      </c>
      <c r="AE47" s="3">
        <f t="shared" si="9"/>
        <v>0.141898019877921</v>
      </c>
      <c r="AF47" s="3">
        <f t="shared" si="9"/>
        <v>0.124776671889285</v>
      </c>
      <c r="AG47" s="3">
        <f t="shared" si="9"/>
        <v>0.107655323900649</v>
      </c>
      <c r="AH47" s="3">
        <f t="shared" si="8"/>
        <v>0.090533975912013</v>
      </c>
      <c r="AI47" s="3">
        <f t="shared" si="8"/>
        <v>0.073412627923377</v>
      </c>
      <c r="AJ47" s="3">
        <f t="shared" si="8"/>
        <v>0.0562912799347411</v>
      </c>
    </row>
    <row r="48" spans="1:36">
      <c r="A48" t="str">
        <f>"semis_archetype_"&amp;TEXT(ROUND(Table269[[#This Row],[2016]],3),"0.000")</f>
        <v>semis_archetype_0.285</v>
      </c>
      <c r="B48" s="3">
        <f t="shared" si="2"/>
        <v>0.285</v>
      </c>
      <c r="C48" s="3">
        <f t="shared" si="10"/>
        <v>0.285</v>
      </c>
      <c r="D48" s="3">
        <f t="shared" si="10"/>
        <v>0.285</v>
      </c>
      <c r="E48" s="3">
        <f t="shared" si="10"/>
        <v>0.278440892365556</v>
      </c>
      <c r="F48" s="3">
        <f t="shared" si="10"/>
        <v>0.271881784731112</v>
      </c>
      <c r="G48" s="3">
        <f t="shared" si="10"/>
        <v>0.265322677096668</v>
      </c>
      <c r="H48" s="3">
        <f t="shared" si="10"/>
        <v>0.258763569462224</v>
      </c>
      <c r="I48" s="3">
        <f t="shared" si="10"/>
        <v>0.25220446182778</v>
      </c>
      <c r="J48" s="3">
        <f t="shared" si="10"/>
        <v>0.245645354193336</v>
      </c>
      <c r="K48" s="3">
        <f t="shared" si="10"/>
        <v>0.239086246558892</v>
      </c>
      <c r="L48" s="3">
        <f t="shared" si="10"/>
        <v>0.232527138924448</v>
      </c>
      <c r="M48" s="3">
        <f t="shared" si="10"/>
        <v>0.225968031290004</v>
      </c>
      <c r="N48" s="3">
        <f t="shared" si="10"/>
        <v>0.21940892365556</v>
      </c>
      <c r="O48" s="3">
        <f t="shared" si="10"/>
        <v>0.212849816021116</v>
      </c>
      <c r="P48" s="3">
        <f t="shared" si="10"/>
        <v>0.206290708386672</v>
      </c>
      <c r="Q48" s="3">
        <f t="shared" si="10"/>
        <v>0.202076977001589</v>
      </c>
      <c r="R48" s="3">
        <f t="shared" si="10"/>
        <v>0.197863245616506</v>
      </c>
      <c r="S48" s="3">
        <f t="shared" si="9"/>
        <v>0.193649514231422</v>
      </c>
      <c r="T48" s="3">
        <f t="shared" si="9"/>
        <v>0.189435782846339</v>
      </c>
      <c r="U48" s="3">
        <f t="shared" si="9"/>
        <v>0.185222051461256</v>
      </c>
      <c r="V48" s="3">
        <f t="shared" si="9"/>
        <v>0.180080760801824</v>
      </c>
      <c r="W48" s="3">
        <f t="shared" si="9"/>
        <v>0.174939470142391</v>
      </c>
      <c r="X48" s="3">
        <f t="shared" si="9"/>
        <v>0.169798179482958</v>
      </c>
      <c r="Y48" s="3">
        <f t="shared" si="9"/>
        <v>0.164656888823526</v>
      </c>
      <c r="Z48" s="3">
        <f t="shared" si="9"/>
        <v>0.159515598164093</v>
      </c>
      <c r="AA48" s="3">
        <f t="shared" si="9"/>
        <v>0.155625785776813</v>
      </c>
      <c r="AB48" s="3">
        <f t="shared" si="9"/>
        <v>0.151735973389532</v>
      </c>
      <c r="AC48" s="3">
        <f t="shared" si="9"/>
        <v>0.147846161002252</v>
      </c>
      <c r="AD48" s="3">
        <f t="shared" si="9"/>
        <v>0.143956348614971</v>
      </c>
      <c r="AE48" s="3">
        <f t="shared" si="9"/>
        <v>0.14006653622769</v>
      </c>
      <c r="AF48" s="3">
        <f t="shared" si="9"/>
        <v>0.1233114849691</v>
      </c>
      <c r="AG48" s="3">
        <f t="shared" si="9"/>
        <v>0.106556433710511</v>
      </c>
      <c r="AH48" s="3">
        <f t="shared" si="8"/>
        <v>0.0898013824519207</v>
      </c>
      <c r="AI48" s="3">
        <f t="shared" si="8"/>
        <v>0.0730463311933309</v>
      </c>
      <c r="AJ48" s="3">
        <f t="shared" si="8"/>
        <v>0.0562912799347411</v>
      </c>
    </row>
    <row r="49" spans="1:36">
      <c r="A49" t="str">
        <f>"semis_archetype_"&amp;TEXT(ROUND(Table269[[#This Row],[2016]],3),"0.000")</f>
        <v>semis_archetype_0.280</v>
      </c>
      <c r="B49" s="3">
        <f t="shared" si="2"/>
        <v>0.28</v>
      </c>
      <c r="C49" s="3">
        <f t="shared" si="10"/>
        <v>0.28</v>
      </c>
      <c r="D49" s="3">
        <f t="shared" si="10"/>
        <v>0.28</v>
      </c>
      <c r="E49" s="3">
        <f t="shared" si="10"/>
        <v>0.273584286715202</v>
      </c>
      <c r="F49" s="3">
        <f t="shared" si="10"/>
        <v>0.267168573430405</v>
      </c>
      <c r="G49" s="3">
        <f t="shared" si="10"/>
        <v>0.260752860145607</v>
      </c>
      <c r="H49" s="3">
        <f t="shared" si="10"/>
        <v>0.25433714686081</v>
      </c>
      <c r="I49" s="3">
        <f t="shared" si="10"/>
        <v>0.247921433576012</v>
      </c>
      <c r="J49" s="3">
        <f t="shared" si="10"/>
        <v>0.241505720291214</v>
      </c>
      <c r="K49" s="3">
        <f t="shared" si="10"/>
        <v>0.235090007006417</v>
      </c>
      <c r="L49" s="3">
        <f t="shared" si="10"/>
        <v>0.228674293721619</v>
      </c>
      <c r="M49" s="3">
        <f t="shared" si="10"/>
        <v>0.222258580436822</v>
      </c>
      <c r="N49" s="3">
        <f t="shared" si="10"/>
        <v>0.215842867152024</v>
      </c>
      <c r="O49" s="3">
        <f t="shared" si="10"/>
        <v>0.209427153867227</v>
      </c>
      <c r="P49" s="3">
        <f t="shared" si="10"/>
        <v>0.203011440582429</v>
      </c>
      <c r="Q49" s="3">
        <f t="shared" si="10"/>
        <v>0.198889829239465</v>
      </c>
      <c r="R49" s="3">
        <f t="shared" si="10"/>
        <v>0.194768217896501</v>
      </c>
      <c r="S49" s="3">
        <f t="shared" si="9"/>
        <v>0.190646606553537</v>
      </c>
      <c r="T49" s="3">
        <f t="shared" si="9"/>
        <v>0.186524995210573</v>
      </c>
      <c r="U49" s="3">
        <f t="shared" si="9"/>
        <v>0.182403383867608</v>
      </c>
      <c r="V49" s="3">
        <f t="shared" si="9"/>
        <v>0.177374491429327</v>
      </c>
      <c r="W49" s="3">
        <f t="shared" si="9"/>
        <v>0.172345598991046</v>
      </c>
      <c r="X49" s="3">
        <f t="shared" si="9"/>
        <v>0.167316706552765</v>
      </c>
      <c r="Y49" s="3">
        <f t="shared" si="9"/>
        <v>0.162287814114484</v>
      </c>
      <c r="Z49" s="3">
        <f t="shared" si="9"/>
        <v>0.157258921676203</v>
      </c>
      <c r="AA49" s="3">
        <f t="shared" si="9"/>
        <v>0.153454147856454</v>
      </c>
      <c r="AB49" s="3">
        <f t="shared" si="9"/>
        <v>0.149649374036706</v>
      </c>
      <c r="AC49" s="3">
        <f t="shared" si="9"/>
        <v>0.145844600216957</v>
      </c>
      <c r="AD49" s="3">
        <f t="shared" si="9"/>
        <v>0.142039826397208</v>
      </c>
      <c r="AE49" s="3">
        <f t="shared" si="9"/>
        <v>0.138235052577459</v>
      </c>
      <c r="AF49" s="3">
        <f t="shared" si="9"/>
        <v>0.121846298048916</v>
      </c>
      <c r="AG49" s="3">
        <f t="shared" si="9"/>
        <v>0.105457543520372</v>
      </c>
      <c r="AH49" s="3">
        <f t="shared" si="8"/>
        <v>0.0890687889918284</v>
      </c>
      <c r="AI49" s="3">
        <f t="shared" si="8"/>
        <v>0.0726800344632847</v>
      </c>
      <c r="AJ49" s="3">
        <f t="shared" si="8"/>
        <v>0.0562912799347411</v>
      </c>
    </row>
    <row r="50" spans="1:36">
      <c r="A50" t="str">
        <f>"semis_archetype_"&amp;TEXT(ROUND(Table269[[#This Row],[2016]],3),"0.000")</f>
        <v>semis_archetype_0.275</v>
      </c>
      <c r="B50" s="3">
        <f t="shared" si="2"/>
        <v>0.275</v>
      </c>
      <c r="C50" s="3">
        <f t="shared" si="10"/>
        <v>0.275</v>
      </c>
      <c r="D50" s="3">
        <f t="shared" si="10"/>
        <v>0.275</v>
      </c>
      <c r="E50" s="3">
        <f t="shared" si="10"/>
        <v>0.268727681064849</v>
      </c>
      <c r="F50" s="3">
        <f t="shared" si="10"/>
        <v>0.262455362129698</v>
      </c>
      <c r="G50" s="3">
        <f t="shared" si="10"/>
        <v>0.256183043194546</v>
      </c>
      <c r="H50" s="3">
        <f t="shared" si="10"/>
        <v>0.249910724259395</v>
      </c>
      <c r="I50" s="3">
        <f t="shared" si="10"/>
        <v>0.243638405324244</v>
      </c>
      <c r="J50" s="3">
        <f t="shared" si="10"/>
        <v>0.237366086389093</v>
      </c>
      <c r="K50" s="3">
        <f t="shared" si="10"/>
        <v>0.231093767453942</v>
      </c>
      <c r="L50" s="3">
        <f t="shared" si="10"/>
        <v>0.224821448518791</v>
      </c>
      <c r="M50" s="3">
        <f t="shared" si="10"/>
        <v>0.218549129583639</v>
      </c>
      <c r="N50" s="3">
        <f t="shared" si="10"/>
        <v>0.212276810648488</v>
      </c>
      <c r="O50" s="3">
        <f t="shared" si="10"/>
        <v>0.206004491713337</v>
      </c>
      <c r="P50" s="3">
        <f t="shared" si="10"/>
        <v>0.199732172778186</v>
      </c>
      <c r="Q50" s="3">
        <f t="shared" si="10"/>
        <v>0.195702681477341</v>
      </c>
      <c r="R50" s="3">
        <f t="shared" si="10"/>
        <v>0.191673190176496</v>
      </c>
      <c r="S50" s="3">
        <f t="shared" si="9"/>
        <v>0.187643698875651</v>
      </c>
      <c r="T50" s="3">
        <f t="shared" si="9"/>
        <v>0.183614207574806</v>
      </c>
      <c r="U50" s="3">
        <f t="shared" si="9"/>
        <v>0.179584716273961</v>
      </c>
      <c r="V50" s="3">
        <f t="shared" si="9"/>
        <v>0.174668222056831</v>
      </c>
      <c r="W50" s="3">
        <f t="shared" si="9"/>
        <v>0.169751727839702</v>
      </c>
      <c r="X50" s="3">
        <f t="shared" si="9"/>
        <v>0.164835233622572</v>
      </c>
      <c r="Y50" s="3">
        <f t="shared" si="9"/>
        <v>0.159918739405442</v>
      </c>
      <c r="Z50" s="3">
        <f t="shared" si="9"/>
        <v>0.155002245188313</v>
      </c>
      <c r="AA50" s="3">
        <f t="shared" si="9"/>
        <v>0.151282509936096</v>
      </c>
      <c r="AB50" s="3">
        <f t="shared" si="9"/>
        <v>0.147562774683879</v>
      </c>
      <c r="AC50" s="3">
        <f t="shared" si="9"/>
        <v>0.143843039431662</v>
      </c>
      <c r="AD50" s="3">
        <f t="shared" si="9"/>
        <v>0.140123304179445</v>
      </c>
      <c r="AE50" s="3">
        <f t="shared" si="9"/>
        <v>0.136403568927228</v>
      </c>
      <c r="AF50" s="3">
        <f t="shared" si="9"/>
        <v>0.120381111128731</v>
      </c>
      <c r="AG50" s="3">
        <f t="shared" si="9"/>
        <v>0.104358653330234</v>
      </c>
      <c r="AH50" s="3">
        <f t="shared" si="8"/>
        <v>0.088336195531736</v>
      </c>
      <c r="AI50" s="3">
        <f t="shared" si="8"/>
        <v>0.0723137377332385</v>
      </c>
      <c r="AJ50" s="3">
        <f t="shared" si="8"/>
        <v>0.0562912799347411</v>
      </c>
    </row>
    <row r="51" spans="1:36">
      <c r="A51" t="str">
        <f>"semis_archetype_"&amp;TEXT(ROUND(Table269[[#This Row],[2016]],3),"0.000")</f>
        <v>semis_archetype_0.270</v>
      </c>
      <c r="B51" s="3">
        <f t="shared" si="2"/>
        <v>0.27</v>
      </c>
      <c r="C51" s="3">
        <f t="shared" si="10"/>
        <v>0.27</v>
      </c>
      <c r="D51" s="3">
        <f t="shared" si="10"/>
        <v>0.27</v>
      </c>
      <c r="E51" s="3">
        <f t="shared" si="10"/>
        <v>0.263871075414495</v>
      </c>
      <c r="F51" s="3">
        <f t="shared" si="10"/>
        <v>0.257742150828991</v>
      </c>
      <c r="G51" s="3">
        <f t="shared" si="10"/>
        <v>0.251613226243486</v>
      </c>
      <c r="H51" s="3">
        <f t="shared" si="10"/>
        <v>0.245484301657981</v>
      </c>
      <c r="I51" s="3">
        <f t="shared" si="10"/>
        <v>0.239355377072476</v>
      </c>
      <c r="J51" s="3">
        <f t="shared" si="10"/>
        <v>0.233226452486971</v>
      </c>
      <c r="K51" s="3">
        <f t="shared" si="10"/>
        <v>0.227097527901467</v>
      </c>
      <c r="L51" s="3">
        <f t="shared" si="10"/>
        <v>0.220968603315962</v>
      </c>
      <c r="M51" s="3">
        <f t="shared" si="10"/>
        <v>0.214839678730457</v>
      </c>
      <c r="N51" s="3">
        <f t="shared" si="10"/>
        <v>0.208710754144952</v>
      </c>
      <c r="O51" s="3">
        <f t="shared" si="10"/>
        <v>0.202581829559447</v>
      </c>
      <c r="P51" s="3">
        <f t="shared" si="10"/>
        <v>0.196452904973943</v>
      </c>
      <c r="Q51" s="3">
        <f t="shared" si="10"/>
        <v>0.192515533715217</v>
      </c>
      <c r="R51" s="3">
        <f t="shared" si="10"/>
        <v>0.188578162456491</v>
      </c>
      <c r="S51" s="3">
        <f t="shared" si="9"/>
        <v>0.184640791197765</v>
      </c>
      <c r="T51" s="3">
        <f t="shared" si="9"/>
        <v>0.180703419939039</v>
      </c>
      <c r="U51" s="3">
        <f t="shared" si="9"/>
        <v>0.176766048680313</v>
      </c>
      <c r="V51" s="3">
        <f t="shared" si="9"/>
        <v>0.171961952684335</v>
      </c>
      <c r="W51" s="3">
        <f t="shared" si="9"/>
        <v>0.167157856688357</v>
      </c>
      <c r="X51" s="3">
        <f t="shared" si="9"/>
        <v>0.162353760692379</v>
      </c>
      <c r="Y51" s="3">
        <f t="shared" si="9"/>
        <v>0.157549664696401</v>
      </c>
      <c r="Z51" s="3">
        <f t="shared" si="9"/>
        <v>0.152745568700422</v>
      </c>
      <c r="AA51" s="3">
        <f t="shared" si="9"/>
        <v>0.149110872015737</v>
      </c>
      <c r="AB51" s="3">
        <f t="shared" si="9"/>
        <v>0.145476175331053</v>
      </c>
      <c r="AC51" s="3">
        <f t="shared" si="9"/>
        <v>0.141841478646368</v>
      </c>
      <c r="AD51" s="3">
        <f t="shared" si="9"/>
        <v>0.138206781961683</v>
      </c>
      <c r="AE51" s="3">
        <f t="shared" si="9"/>
        <v>0.134572085276998</v>
      </c>
      <c r="AF51" s="3">
        <f t="shared" si="9"/>
        <v>0.118915924208546</v>
      </c>
      <c r="AG51" s="3">
        <f t="shared" si="9"/>
        <v>0.103259763140095</v>
      </c>
      <c r="AH51" s="3">
        <f t="shared" si="8"/>
        <v>0.0876036020716437</v>
      </c>
      <c r="AI51" s="3">
        <f t="shared" si="8"/>
        <v>0.0719474410031924</v>
      </c>
      <c r="AJ51" s="3">
        <f t="shared" si="8"/>
        <v>0.0562912799347411</v>
      </c>
    </row>
    <row r="52" spans="1:36">
      <c r="A52" t="str">
        <f>"semis_archetype_"&amp;TEXT(ROUND(Table269[[#This Row],[2016]],3),"0.000")</f>
        <v>semis_archetype_0.265</v>
      </c>
      <c r="B52" s="3">
        <f t="shared" si="2"/>
        <v>0.265</v>
      </c>
      <c r="C52" s="3">
        <f t="shared" si="10"/>
        <v>0.265</v>
      </c>
      <c r="D52" s="3">
        <f t="shared" si="10"/>
        <v>0.265</v>
      </c>
      <c r="E52" s="3">
        <f t="shared" si="10"/>
        <v>0.259014469764142</v>
      </c>
      <c r="F52" s="3">
        <f t="shared" si="10"/>
        <v>0.253028939528284</v>
      </c>
      <c r="G52" s="3">
        <f t="shared" si="10"/>
        <v>0.247043409292425</v>
      </c>
      <c r="H52" s="3">
        <f t="shared" si="10"/>
        <v>0.241057879056567</v>
      </c>
      <c r="I52" s="3">
        <f t="shared" si="10"/>
        <v>0.235072348820708</v>
      </c>
      <c r="J52" s="3">
        <f t="shared" si="10"/>
        <v>0.22908681858485</v>
      </c>
      <c r="K52" s="3">
        <f t="shared" si="10"/>
        <v>0.223101288348991</v>
      </c>
      <c r="L52" s="3">
        <f t="shared" si="10"/>
        <v>0.217115758113133</v>
      </c>
      <c r="M52" s="3">
        <f t="shared" si="10"/>
        <v>0.211130227877275</v>
      </c>
      <c r="N52" s="3">
        <f t="shared" si="10"/>
        <v>0.205144697641416</v>
      </c>
      <c r="O52" s="3">
        <f t="shared" si="10"/>
        <v>0.199159167405558</v>
      </c>
      <c r="P52" s="3">
        <f t="shared" si="10"/>
        <v>0.1931736371697</v>
      </c>
      <c r="Q52" s="3">
        <f t="shared" si="10"/>
        <v>0.189328385953093</v>
      </c>
      <c r="R52" s="3">
        <f t="shared" si="10"/>
        <v>0.185483134736486</v>
      </c>
      <c r="S52" s="3">
        <f t="shared" si="9"/>
        <v>0.181637883519879</v>
      </c>
      <c r="T52" s="3">
        <f t="shared" si="9"/>
        <v>0.177792632303272</v>
      </c>
      <c r="U52" s="3">
        <f t="shared" si="9"/>
        <v>0.173947381086665</v>
      </c>
      <c r="V52" s="3">
        <f t="shared" si="9"/>
        <v>0.169255683311839</v>
      </c>
      <c r="W52" s="3">
        <f t="shared" si="9"/>
        <v>0.164563985537012</v>
      </c>
      <c r="X52" s="3">
        <f t="shared" si="9"/>
        <v>0.159872287762185</v>
      </c>
      <c r="Y52" s="3">
        <f t="shared" si="9"/>
        <v>0.155180589987359</v>
      </c>
      <c r="Z52" s="3">
        <f t="shared" si="9"/>
        <v>0.150488892212532</v>
      </c>
      <c r="AA52" s="3">
        <f t="shared" si="9"/>
        <v>0.146939234095379</v>
      </c>
      <c r="AB52" s="3">
        <f t="shared" si="9"/>
        <v>0.143389575978226</v>
      </c>
      <c r="AC52" s="3">
        <f t="shared" si="9"/>
        <v>0.139839917861073</v>
      </c>
      <c r="AD52" s="3">
        <f t="shared" si="9"/>
        <v>0.13629025974392</v>
      </c>
      <c r="AE52" s="3">
        <f t="shared" si="9"/>
        <v>0.132740601626767</v>
      </c>
      <c r="AF52" s="3">
        <f t="shared" si="9"/>
        <v>0.117450737288362</v>
      </c>
      <c r="AG52" s="3">
        <f t="shared" si="9"/>
        <v>0.102160872949957</v>
      </c>
      <c r="AH52" s="3">
        <f t="shared" si="8"/>
        <v>0.0868710086115514</v>
      </c>
      <c r="AI52" s="3">
        <f t="shared" si="8"/>
        <v>0.0715811442731462</v>
      </c>
      <c r="AJ52" s="3">
        <f t="shared" si="8"/>
        <v>0.0562912799347411</v>
      </c>
    </row>
    <row r="53" spans="1:36">
      <c r="A53" t="str">
        <f>"semis_archetype_"&amp;TEXT(ROUND(Table269[[#This Row],[2016]],3),"0.000")</f>
        <v>semis_archetype_0.260</v>
      </c>
      <c r="B53" s="3">
        <f t="shared" si="2"/>
        <v>0.26</v>
      </c>
      <c r="C53" s="3">
        <f t="shared" si="10"/>
        <v>0.26</v>
      </c>
      <c r="D53" s="3">
        <f t="shared" si="10"/>
        <v>0.26</v>
      </c>
      <c r="E53" s="3">
        <f t="shared" si="10"/>
        <v>0.254157864113788</v>
      </c>
      <c r="F53" s="3">
        <f t="shared" si="10"/>
        <v>0.248315728227576</v>
      </c>
      <c r="G53" s="3">
        <f t="shared" si="10"/>
        <v>0.242473592341364</v>
      </c>
      <c r="H53" s="3">
        <f t="shared" si="10"/>
        <v>0.236631456455152</v>
      </c>
      <c r="I53" s="3">
        <f t="shared" si="10"/>
        <v>0.23078932056894</v>
      </c>
      <c r="J53" s="3">
        <f t="shared" si="10"/>
        <v>0.224947184682728</v>
      </c>
      <c r="K53" s="3">
        <f t="shared" si="10"/>
        <v>0.219105048796516</v>
      </c>
      <c r="L53" s="3">
        <f t="shared" si="10"/>
        <v>0.213262912910304</v>
      </c>
      <c r="M53" s="3">
        <f t="shared" si="10"/>
        <v>0.207420777024092</v>
      </c>
      <c r="N53" s="3">
        <f t="shared" si="10"/>
        <v>0.20157864113788</v>
      </c>
      <c r="O53" s="3">
        <f t="shared" si="10"/>
        <v>0.195736505251668</v>
      </c>
      <c r="P53" s="3">
        <f t="shared" si="10"/>
        <v>0.189894369365457</v>
      </c>
      <c r="Q53" s="3">
        <f t="shared" si="10"/>
        <v>0.186141238190969</v>
      </c>
      <c r="R53" s="3">
        <f t="shared" si="10"/>
        <v>0.182388107016481</v>
      </c>
      <c r="S53" s="3">
        <f t="shared" si="9"/>
        <v>0.178634975841993</v>
      </c>
      <c r="T53" s="3">
        <f t="shared" si="9"/>
        <v>0.174881844667506</v>
      </c>
      <c r="U53" s="3">
        <f t="shared" si="9"/>
        <v>0.171128713493018</v>
      </c>
      <c r="V53" s="3">
        <f t="shared" si="9"/>
        <v>0.166549413939343</v>
      </c>
      <c r="W53" s="3">
        <f t="shared" si="9"/>
        <v>0.161970114385667</v>
      </c>
      <c r="X53" s="3">
        <f t="shared" si="9"/>
        <v>0.157390814831992</v>
      </c>
      <c r="Y53" s="3">
        <f t="shared" si="9"/>
        <v>0.152811515278317</v>
      </c>
      <c r="Z53" s="3">
        <f t="shared" si="9"/>
        <v>0.148232215724642</v>
      </c>
      <c r="AA53" s="3">
        <f t="shared" si="9"/>
        <v>0.144767596175021</v>
      </c>
      <c r="AB53" s="3">
        <f t="shared" si="9"/>
        <v>0.141302976625399</v>
      </c>
      <c r="AC53" s="3">
        <f t="shared" si="9"/>
        <v>0.137838357075778</v>
      </c>
      <c r="AD53" s="3">
        <f t="shared" si="9"/>
        <v>0.134373737526157</v>
      </c>
      <c r="AE53" s="3">
        <f t="shared" si="9"/>
        <v>0.130909117976536</v>
      </c>
      <c r="AF53" s="3">
        <f t="shared" si="9"/>
        <v>0.115985550368177</v>
      </c>
      <c r="AG53" s="3">
        <f t="shared" si="9"/>
        <v>0.101061982759818</v>
      </c>
      <c r="AH53" s="3">
        <f t="shared" si="8"/>
        <v>0.086138415151459</v>
      </c>
      <c r="AI53" s="3">
        <f t="shared" si="8"/>
        <v>0.0712148475431</v>
      </c>
      <c r="AJ53" s="3">
        <f t="shared" si="8"/>
        <v>0.0562912799347411</v>
      </c>
    </row>
    <row r="54" spans="1:36">
      <c r="A54" t="str">
        <f>"semis_archetype_"&amp;TEXT(ROUND(Table269[[#This Row],[2016]],3),"0.000")</f>
        <v>semis_archetype_0.255</v>
      </c>
      <c r="B54" s="3">
        <f t="shared" si="2"/>
        <v>0.255</v>
      </c>
      <c r="C54" s="3">
        <f t="shared" si="10"/>
        <v>0.255</v>
      </c>
      <c r="D54" s="3">
        <f t="shared" si="10"/>
        <v>0.255</v>
      </c>
      <c r="E54" s="3">
        <f t="shared" si="10"/>
        <v>0.249301258463434</v>
      </c>
      <c r="F54" s="3">
        <f t="shared" si="10"/>
        <v>0.243602516926869</v>
      </c>
      <c r="G54" s="3">
        <f t="shared" si="10"/>
        <v>0.237903775390303</v>
      </c>
      <c r="H54" s="3">
        <f t="shared" si="10"/>
        <v>0.232205033853738</v>
      </c>
      <c r="I54" s="3">
        <f t="shared" si="10"/>
        <v>0.226506292317172</v>
      </c>
      <c r="J54" s="3">
        <f t="shared" si="10"/>
        <v>0.220807550780607</v>
      </c>
      <c r="K54" s="3">
        <f t="shared" si="10"/>
        <v>0.215108809244041</v>
      </c>
      <c r="L54" s="3">
        <f t="shared" si="10"/>
        <v>0.209410067707476</v>
      </c>
      <c r="M54" s="3">
        <f t="shared" si="10"/>
        <v>0.20371132617091</v>
      </c>
      <c r="N54" s="3">
        <f t="shared" si="10"/>
        <v>0.198012584634344</v>
      </c>
      <c r="O54" s="3">
        <f t="shared" si="10"/>
        <v>0.192313843097779</v>
      </c>
      <c r="P54" s="3">
        <f t="shared" si="10"/>
        <v>0.186615101561213</v>
      </c>
      <c r="Q54" s="3">
        <f t="shared" si="10"/>
        <v>0.182954090428845</v>
      </c>
      <c r="R54" s="3">
        <f t="shared" si="10"/>
        <v>0.179293079296476</v>
      </c>
      <c r="S54" s="3">
        <f t="shared" si="9"/>
        <v>0.175632068164107</v>
      </c>
      <c r="T54" s="3">
        <f t="shared" si="9"/>
        <v>0.171971057031739</v>
      </c>
      <c r="U54" s="3">
        <f t="shared" si="9"/>
        <v>0.16831004589937</v>
      </c>
      <c r="V54" s="3">
        <f t="shared" si="9"/>
        <v>0.163843144566846</v>
      </c>
      <c r="W54" s="3">
        <f t="shared" si="9"/>
        <v>0.159376243234323</v>
      </c>
      <c r="X54" s="3">
        <f t="shared" si="9"/>
        <v>0.154909341901799</v>
      </c>
      <c r="Y54" s="3">
        <f t="shared" si="9"/>
        <v>0.150442440569275</v>
      </c>
      <c r="Z54" s="3">
        <f t="shared" si="9"/>
        <v>0.145975539236751</v>
      </c>
      <c r="AA54" s="3">
        <f t="shared" si="9"/>
        <v>0.142595958254662</v>
      </c>
      <c r="AB54" s="3">
        <f t="shared" si="9"/>
        <v>0.139216377272573</v>
      </c>
      <c r="AC54" s="3">
        <f t="shared" si="9"/>
        <v>0.135836796290484</v>
      </c>
      <c r="AD54" s="3">
        <f t="shared" si="9"/>
        <v>0.132457215308394</v>
      </c>
      <c r="AE54" s="3">
        <f t="shared" si="9"/>
        <v>0.129077634326305</v>
      </c>
      <c r="AF54" s="3">
        <f t="shared" si="9"/>
        <v>0.114520363447992</v>
      </c>
      <c r="AG54" s="3">
        <f t="shared" si="9"/>
        <v>0.0999630925696795</v>
      </c>
      <c r="AH54" s="3">
        <f t="shared" si="8"/>
        <v>0.0854058216913667</v>
      </c>
      <c r="AI54" s="3">
        <f t="shared" si="8"/>
        <v>0.0708485508130539</v>
      </c>
      <c r="AJ54" s="3">
        <f t="shared" si="8"/>
        <v>0.0562912799347411</v>
      </c>
    </row>
    <row r="55" spans="1:36">
      <c r="A55" t="str">
        <f>"semis_archetype_"&amp;TEXT(ROUND(Table269[[#This Row],[2016]],3),"0.000")</f>
        <v>semis_archetype_0.250</v>
      </c>
      <c r="B55" s="3">
        <f t="shared" si="2"/>
        <v>0.25</v>
      </c>
      <c r="C55" s="3">
        <f t="shared" si="10"/>
        <v>0.25</v>
      </c>
      <c r="D55" s="3">
        <f t="shared" si="10"/>
        <v>0.25</v>
      </c>
      <c r="E55" s="3">
        <f t="shared" si="10"/>
        <v>0.244444652813081</v>
      </c>
      <c r="F55" s="3">
        <f t="shared" si="10"/>
        <v>0.238889305626162</v>
      </c>
      <c r="G55" s="3">
        <f t="shared" si="10"/>
        <v>0.233333958439243</v>
      </c>
      <c r="H55" s="3">
        <f t="shared" si="10"/>
        <v>0.227778611252323</v>
      </c>
      <c r="I55" s="3">
        <f t="shared" si="10"/>
        <v>0.222223264065404</v>
      </c>
      <c r="J55" s="3">
        <f t="shared" si="10"/>
        <v>0.216667916878485</v>
      </c>
      <c r="K55" s="3">
        <f t="shared" si="10"/>
        <v>0.211112569691566</v>
      </c>
      <c r="L55" s="3">
        <f t="shared" si="10"/>
        <v>0.205557222504647</v>
      </c>
      <c r="M55" s="3">
        <f t="shared" si="10"/>
        <v>0.200001875317728</v>
      </c>
      <c r="N55" s="3">
        <f t="shared" si="10"/>
        <v>0.194446528130809</v>
      </c>
      <c r="O55" s="3">
        <f t="shared" si="10"/>
        <v>0.188891180943889</v>
      </c>
      <c r="P55" s="3">
        <f t="shared" si="10"/>
        <v>0.18333583375697</v>
      </c>
      <c r="Q55" s="3">
        <f t="shared" si="10"/>
        <v>0.179766942666721</v>
      </c>
      <c r="R55" s="3">
        <f t="shared" si="10"/>
        <v>0.176198051576471</v>
      </c>
      <c r="S55" s="3">
        <f t="shared" si="9"/>
        <v>0.172629160486222</v>
      </c>
      <c r="T55" s="3">
        <f t="shared" si="9"/>
        <v>0.169060269395972</v>
      </c>
      <c r="U55" s="3">
        <f t="shared" si="9"/>
        <v>0.165491378305723</v>
      </c>
      <c r="V55" s="3">
        <f t="shared" si="9"/>
        <v>0.16113687519435</v>
      </c>
      <c r="W55" s="3">
        <f t="shared" si="9"/>
        <v>0.156782372082978</v>
      </c>
      <c r="X55" s="3">
        <f t="shared" si="9"/>
        <v>0.152427868971606</v>
      </c>
      <c r="Y55" s="3">
        <f t="shared" si="9"/>
        <v>0.148073365860233</v>
      </c>
      <c r="Z55" s="3">
        <f t="shared" si="9"/>
        <v>0.143718862748861</v>
      </c>
      <c r="AA55" s="3">
        <f t="shared" si="9"/>
        <v>0.140424320334304</v>
      </c>
      <c r="AB55" s="3">
        <f t="shared" si="9"/>
        <v>0.137129777919746</v>
      </c>
      <c r="AC55" s="3">
        <f t="shared" si="9"/>
        <v>0.133835235505189</v>
      </c>
      <c r="AD55" s="3">
        <f t="shared" si="9"/>
        <v>0.130540693090632</v>
      </c>
      <c r="AE55" s="3">
        <f t="shared" si="9"/>
        <v>0.127246150676074</v>
      </c>
      <c r="AF55" s="3">
        <f t="shared" si="9"/>
        <v>0.113055176527808</v>
      </c>
      <c r="AG55" s="3">
        <f t="shared" si="9"/>
        <v>0.098864202379541</v>
      </c>
      <c r="AH55" s="3">
        <f t="shared" si="8"/>
        <v>0.0846732282312743</v>
      </c>
      <c r="AI55" s="3">
        <f t="shared" si="8"/>
        <v>0.0704822540830077</v>
      </c>
      <c r="AJ55" s="3">
        <f t="shared" si="8"/>
        <v>0.0562912799347411</v>
      </c>
    </row>
    <row r="56" spans="1:36">
      <c r="A56" t="str">
        <f>"semis_archetype_"&amp;TEXT(ROUND(Table269[[#This Row],[2016]],3),"0.000")</f>
        <v>semis_archetype_0.245</v>
      </c>
      <c r="B56" s="3">
        <f t="shared" si="2"/>
        <v>0.245</v>
      </c>
      <c r="C56" s="3">
        <f t="shared" si="10"/>
        <v>0.245</v>
      </c>
      <c r="D56" s="3">
        <f t="shared" si="10"/>
        <v>0.245</v>
      </c>
      <c r="E56" s="3">
        <f t="shared" si="10"/>
        <v>0.239588047162727</v>
      </c>
      <c r="F56" s="3">
        <f t="shared" si="10"/>
        <v>0.234176094325455</v>
      </c>
      <c r="G56" s="3">
        <f t="shared" si="10"/>
        <v>0.228764141488182</v>
      </c>
      <c r="H56" s="3">
        <f t="shared" si="10"/>
        <v>0.223352188650909</v>
      </c>
      <c r="I56" s="3">
        <f t="shared" si="10"/>
        <v>0.217940235813636</v>
      </c>
      <c r="J56" s="3">
        <f t="shared" si="10"/>
        <v>0.212528282976364</v>
      </c>
      <c r="K56" s="3">
        <f t="shared" si="10"/>
        <v>0.207116330139091</v>
      </c>
      <c r="L56" s="3">
        <f t="shared" si="10"/>
        <v>0.201704377301818</v>
      </c>
      <c r="M56" s="3">
        <f t="shared" si="10"/>
        <v>0.196292424464545</v>
      </c>
      <c r="N56" s="3">
        <f t="shared" si="10"/>
        <v>0.190880471627273</v>
      </c>
      <c r="O56" s="3">
        <f t="shared" si="10"/>
        <v>0.18546851879</v>
      </c>
      <c r="P56" s="3">
        <f t="shared" si="10"/>
        <v>0.180056565952727</v>
      </c>
      <c r="Q56" s="3">
        <f t="shared" si="10"/>
        <v>0.176579794904597</v>
      </c>
      <c r="R56" s="3">
        <f t="shared" si="10"/>
        <v>0.173103023856466</v>
      </c>
      <c r="S56" s="3">
        <f t="shared" si="9"/>
        <v>0.169626252808336</v>
      </c>
      <c r="T56" s="3">
        <f t="shared" si="9"/>
        <v>0.166149481760205</v>
      </c>
      <c r="U56" s="3">
        <f t="shared" si="9"/>
        <v>0.162672710712075</v>
      </c>
      <c r="V56" s="3">
        <f t="shared" si="9"/>
        <v>0.158430605821854</v>
      </c>
      <c r="W56" s="3">
        <f t="shared" si="9"/>
        <v>0.154188500931633</v>
      </c>
      <c r="X56" s="3">
        <f t="shared" si="9"/>
        <v>0.149946396041412</v>
      </c>
      <c r="Y56" s="3">
        <f t="shared" si="9"/>
        <v>0.145704291151192</v>
      </c>
      <c r="Z56" s="3">
        <f t="shared" si="9"/>
        <v>0.141462186260971</v>
      </c>
      <c r="AA56" s="3">
        <f t="shared" si="9"/>
        <v>0.138252682413945</v>
      </c>
      <c r="AB56" s="3">
        <f t="shared" si="9"/>
        <v>0.13504317856692</v>
      </c>
      <c r="AC56" s="3">
        <f t="shared" si="9"/>
        <v>0.131833674719894</v>
      </c>
      <c r="AD56" s="3">
        <f t="shared" si="9"/>
        <v>0.128624170872869</v>
      </c>
      <c r="AE56" s="3">
        <f t="shared" si="9"/>
        <v>0.125414667025843</v>
      </c>
      <c r="AF56" s="3">
        <f t="shared" si="9"/>
        <v>0.111589989607623</v>
      </c>
      <c r="AG56" s="3">
        <f t="shared" si="9"/>
        <v>0.0977653121894025</v>
      </c>
      <c r="AH56" s="3">
        <f t="shared" si="8"/>
        <v>0.083940634771182</v>
      </c>
      <c r="AI56" s="3">
        <f t="shared" si="8"/>
        <v>0.0701159573529615</v>
      </c>
      <c r="AJ56" s="3">
        <f t="shared" si="8"/>
        <v>0.0562912799347411</v>
      </c>
    </row>
    <row r="57" spans="1:36">
      <c r="A57" t="str">
        <f>"semis_archetype_"&amp;TEXT(ROUND(Table269[[#This Row],[2016]],3),"0.000")</f>
        <v>semis_archetype_0.240</v>
      </c>
      <c r="B57" s="3">
        <f t="shared" si="2"/>
        <v>0.24</v>
      </c>
      <c r="C57" s="3">
        <f t="shared" si="10"/>
        <v>0.24</v>
      </c>
      <c r="D57" s="3">
        <f t="shared" si="10"/>
        <v>0.24</v>
      </c>
      <c r="E57" s="3">
        <f t="shared" si="10"/>
        <v>0.234731441512374</v>
      </c>
      <c r="F57" s="3">
        <f t="shared" si="10"/>
        <v>0.229462883024748</v>
      </c>
      <c r="G57" s="3">
        <f t="shared" si="10"/>
        <v>0.224194324537121</v>
      </c>
      <c r="H57" s="3">
        <f t="shared" si="10"/>
        <v>0.218925766049495</v>
      </c>
      <c r="I57" s="3">
        <f t="shared" si="10"/>
        <v>0.213657207561868</v>
      </c>
      <c r="J57" s="3">
        <f t="shared" si="10"/>
        <v>0.208388649074242</v>
      </c>
      <c r="K57" s="3">
        <f t="shared" si="10"/>
        <v>0.203120090586616</v>
      </c>
      <c r="L57" s="3">
        <f t="shared" si="10"/>
        <v>0.197851532098989</v>
      </c>
      <c r="M57" s="3">
        <f t="shared" si="10"/>
        <v>0.192582973611363</v>
      </c>
      <c r="N57" s="3">
        <f t="shared" si="10"/>
        <v>0.187314415123737</v>
      </c>
      <c r="O57" s="3">
        <f t="shared" si="10"/>
        <v>0.18204585663611</v>
      </c>
      <c r="P57" s="3">
        <f t="shared" si="10"/>
        <v>0.176777298148484</v>
      </c>
      <c r="Q57" s="3">
        <f t="shared" si="10"/>
        <v>0.173392647142473</v>
      </c>
      <c r="R57" s="3">
        <f t="shared" si="10"/>
        <v>0.170007996136461</v>
      </c>
      <c r="S57" s="3">
        <f t="shared" si="9"/>
        <v>0.16662334513045</v>
      </c>
      <c r="T57" s="3">
        <f t="shared" si="9"/>
        <v>0.163238694124439</v>
      </c>
      <c r="U57" s="3">
        <f t="shared" si="9"/>
        <v>0.159854043118427</v>
      </c>
      <c r="V57" s="3">
        <f t="shared" si="9"/>
        <v>0.155724336449358</v>
      </c>
      <c r="W57" s="3">
        <f t="shared" si="9"/>
        <v>0.151594629780289</v>
      </c>
      <c r="X57" s="3">
        <f t="shared" si="9"/>
        <v>0.147464923111219</v>
      </c>
      <c r="Y57" s="3">
        <f t="shared" si="9"/>
        <v>0.14333521644215</v>
      </c>
      <c r="Z57" s="3">
        <f t="shared" si="9"/>
        <v>0.13920550977308</v>
      </c>
      <c r="AA57" s="3">
        <f t="shared" si="9"/>
        <v>0.136081044493587</v>
      </c>
      <c r="AB57" s="3">
        <f t="shared" si="9"/>
        <v>0.132956579214093</v>
      </c>
      <c r="AC57" s="3">
        <f t="shared" si="9"/>
        <v>0.1298321139346</v>
      </c>
      <c r="AD57" s="3">
        <f t="shared" si="9"/>
        <v>0.126707648655106</v>
      </c>
      <c r="AE57" s="3">
        <f t="shared" si="9"/>
        <v>0.123583183375613</v>
      </c>
      <c r="AF57" s="3">
        <f t="shared" si="9"/>
        <v>0.110124802687438</v>
      </c>
      <c r="AG57" s="3">
        <f t="shared" si="9"/>
        <v>0.096666421999264</v>
      </c>
      <c r="AH57" s="3">
        <f t="shared" si="8"/>
        <v>0.0832080413110897</v>
      </c>
      <c r="AI57" s="3">
        <f t="shared" si="8"/>
        <v>0.0697496606229154</v>
      </c>
      <c r="AJ57" s="3">
        <f t="shared" si="8"/>
        <v>0.0562912799347411</v>
      </c>
    </row>
    <row r="58" spans="1:36">
      <c r="A58" t="str">
        <f>"semis_archetype_"&amp;TEXT(ROUND(Table269[[#This Row],[2016]],3),"0.000")</f>
        <v>semis_archetype_0.235</v>
      </c>
      <c r="B58" s="3">
        <f t="shared" si="2"/>
        <v>0.235</v>
      </c>
      <c r="C58" s="3">
        <f t="shared" si="10"/>
        <v>0.235</v>
      </c>
      <c r="D58" s="3">
        <f t="shared" si="10"/>
        <v>0.235</v>
      </c>
      <c r="E58" s="3">
        <f t="shared" si="10"/>
        <v>0.22987483586202</v>
      </c>
      <c r="F58" s="3">
        <f t="shared" si="10"/>
        <v>0.22474967172404</v>
      </c>
      <c r="G58" s="3">
        <f t="shared" si="10"/>
        <v>0.21962450758606</v>
      </c>
      <c r="H58" s="3">
        <f t="shared" si="10"/>
        <v>0.21449934344808</v>
      </c>
      <c r="I58" s="3">
        <f t="shared" si="10"/>
        <v>0.2093741793101</v>
      </c>
      <c r="J58" s="3">
        <f t="shared" si="10"/>
        <v>0.20424901517212</v>
      </c>
      <c r="K58" s="3">
        <f t="shared" si="10"/>
        <v>0.199123851034141</v>
      </c>
      <c r="L58" s="3">
        <f t="shared" si="10"/>
        <v>0.193998686896161</v>
      </c>
      <c r="M58" s="3">
        <f t="shared" si="10"/>
        <v>0.188873522758181</v>
      </c>
      <c r="N58" s="3">
        <f t="shared" si="10"/>
        <v>0.183748358620201</v>
      </c>
      <c r="O58" s="3">
        <f t="shared" si="10"/>
        <v>0.178623194482221</v>
      </c>
      <c r="P58" s="3">
        <f t="shared" si="10"/>
        <v>0.173498030344241</v>
      </c>
      <c r="Q58" s="3">
        <f t="shared" si="10"/>
        <v>0.170205499380349</v>
      </c>
      <c r="R58" s="3">
        <f t="shared" si="10"/>
        <v>0.166912968416456</v>
      </c>
      <c r="S58" s="3">
        <f t="shared" si="9"/>
        <v>0.163620437452564</v>
      </c>
      <c r="T58" s="3">
        <f t="shared" si="9"/>
        <v>0.160327906488672</v>
      </c>
      <c r="U58" s="3">
        <f t="shared" si="9"/>
        <v>0.15703537552478</v>
      </c>
      <c r="V58" s="3">
        <f t="shared" si="9"/>
        <v>0.153018067076862</v>
      </c>
      <c r="W58" s="3">
        <f t="shared" si="9"/>
        <v>0.149000758628944</v>
      </c>
      <c r="X58" s="3">
        <f t="shared" si="9"/>
        <v>0.144983450181026</v>
      </c>
      <c r="Y58" s="3">
        <f t="shared" si="9"/>
        <v>0.140966141733108</v>
      </c>
      <c r="Z58" s="3">
        <f t="shared" si="9"/>
        <v>0.13694883328519</v>
      </c>
      <c r="AA58" s="3">
        <f t="shared" si="9"/>
        <v>0.133909406573228</v>
      </c>
      <c r="AB58" s="3">
        <f t="shared" si="9"/>
        <v>0.130869979861267</v>
      </c>
      <c r="AC58" s="3">
        <f t="shared" si="9"/>
        <v>0.127830553149305</v>
      </c>
      <c r="AD58" s="3">
        <f t="shared" si="9"/>
        <v>0.124791126437343</v>
      </c>
      <c r="AE58" s="3">
        <f t="shared" si="9"/>
        <v>0.121751699725382</v>
      </c>
      <c r="AF58" s="3">
        <f t="shared" si="9"/>
        <v>0.108659615767254</v>
      </c>
      <c r="AG58" s="3">
        <f t="shared" si="9"/>
        <v>0.0955675318091254</v>
      </c>
      <c r="AH58" s="3">
        <f t="shared" si="8"/>
        <v>0.0824754478509973</v>
      </c>
      <c r="AI58" s="3">
        <f t="shared" si="8"/>
        <v>0.0693833638928692</v>
      </c>
      <c r="AJ58" s="3">
        <f t="shared" si="8"/>
        <v>0.0562912799347411</v>
      </c>
    </row>
    <row r="59" spans="1:36">
      <c r="A59" t="str">
        <f>"semis_archetype_"&amp;TEXT(ROUND(Table269[[#This Row],[2016]],3),"0.000")</f>
        <v>semis_archetype_0.230</v>
      </c>
      <c r="B59" s="3">
        <f t="shared" si="2"/>
        <v>0.23</v>
      </c>
      <c r="C59" s="3">
        <f t="shared" si="10"/>
        <v>0.23</v>
      </c>
      <c r="D59" s="3">
        <f t="shared" si="10"/>
        <v>0.23</v>
      </c>
      <c r="E59" s="3">
        <f t="shared" si="10"/>
        <v>0.225018230211666</v>
      </c>
      <c r="F59" s="3">
        <f t="shared" si="10"/>
        <v>0.220036460423333</v>
      </c>
      <c r="G59" s="3">
        <f t="shared" si="10"/>
        <v>0.215054690634999</v>
      </c>
      <c r="H59" s="3">
        <f t="shared" si="10"/>
        <v>0.210072920846666</v>
      </c>
      <c r="I59" s="3">
        <f t="shared" si="10"/>
        <v>0.205091151058332</v>
      </c>
      <c r="J59" s="3">
        <f t="shared" si="10"/>
        <v>0.200109381269999</v>
      </c>
      <c r="K59" s="3">
        <f t="shared" si="10"/>
        <v>0.195127611481665</v>
      </c>
      <c r="L59" s="3">
        <f t="shared" si="10"/>
        <v>0.190145841693332</v>
      </c>
      <c r="M59" s="3">
        <f t="shared" si="10"/>
        <v>0.185164071904998</v>
      </c>
      <c r="N59" s="3">
        <f t="shared" si="10"/>
        <v>0.180182302116665</v>
      </c>
      <c r="O59" s="3">
        <f t="shared" si="10"/>
        <v>0.175200532328331</v>
      </c>
      <c r="P59" s="3">
        <f t="shared" si="10"/>
        <v>0.170218762539998</v>
      </c>
      <c r="Q59" s="3">
        <f t="shared" si="10"/>
        <v>0.167018351618225</v>
      </c>
      <c r="R59" s="3">
        <f t="shared" si="10"/>
        <v>0.163817940696452</v>
      </c>
      <c r="S59" s="3">
        <f t="shared" si="9"/>
        <v>0.160617529774678</v>
      </c>
      <c r="T59" s="3">
        <f t="shared" si="9"/>
        <v>0.157417118852905</v>
      </c>
      <c r="U59" s="3">
        <f t="shared" si="9"/>
        <v>0.154216707931132</v>
      </c>
      <c r="V59" s="3">
        <f t="shared" si="9"/>
        <v>0.150311797704366</v>
      </c>
      <c r="W59" s="3">
        <f t="shared" si="9"/>
        <v>0.146406887477599</v>
      </c>
      <c r="X59" s="3">
        <f t="shared" si="9"/>
        <v>0.142501977250833</v>
      </c>
      <c r="Y59" s="3">
        <f t="shared" si="9"/>
        <v>0.138597067024066</v>
      </c>
      <c r="Z59" s="3">
        <f t="shared" si="9"/>
        <v>0.1346921567973</v>
      </c>
      <c r="AA59" s="3">
        <f t="shared" si="9"/>
        <v>0.13173776865287</v>
      </c>
      <c r="AB59" s="3">
        <f t="shared" si="9"/>
        <v>0.12878338050844</v>
      </c>
      <c r="AC59" s="3">
        <f t="shared" si="9"/>
        <v>0.12582899236401</v>
      </c>
      <c r="AD59" s="3">
        <f t="shared" si="9"/>
        <v>0.122874604219581</v>
      </c>
      <c r="AE59" s="3">
        <f t="shared" si="9"/>
        <v>0.119920216075151</v>
      </c>
      <c r="AF59" s="3">
        <f t="shared" si="9"/>
        <v>0.107194428847069</v>
      </c>
      <c r="AG59" s="3">
        <f t="shared" si="9"/>
        <v>0.0944686416189869</v>
      </c>
      <c r="AH59" s="3">
        <f t="shared" si="8"/>
        <v>0.081742854390905</v>
      </c>
      <c r="AI59" s="3">
        <f t="shared" si="8"/>
        <v>0.069017067162823</v>
      </c>
      <c r="AJ59" s="3">
        <f t="shared" si="8"/>
        <v>0.0562912799347411</v>
      </c>
    </row>
    <row r="60" spans="1:36">
      <c r="A60" t="str">
        <f>"semis_archetype_"&amp;TEXT(ROUND(Table269[[#This Row],[2016]],3),"0.000")</f>
        <v>semis_archetype_0.225</v>
      </c>
      <c r="B60" s="3">
        <f t="shared" si="2"/>
        <v>0.225</v>
      </c>
      <c r="C60" s="3">
        <f t="shared" si="10"/>
        <v>0.225</v>
      </c>
      <c r="D60" s="3">
        <f t="shared" si="10"/>
        <v>0.225</v>
      </c>
      <c r="E60" s="3">
        <f t="shared" si="10"/>
        <v>0.220161624561313</v>
      </c>
      <c r="F60" s="3">
        <f t="shared" si="10"/>
        <v>0.215323249122626</v>
      </c>
      <c r="G60" s="3">
        <f t="shared" si="10"/>
        <v>0.210484873683939</v>
      </c>
      <c r="H60" s="3">
        <f t="shared" si="10"/>
        <v>0.205646498245252</v>
      </c>
      <c r="I60" s="3">
        <f t="shared" si="10"/>
        <v>0.200808122806564</v>
      </c>
      <c r="J60" s="3">
        <f t="shared" si="10"/>
        <v>0.195969747367877</v>
      </c>
      <c r="K60" s="3">
        <f t="shared" si="10"/>
        <v>0.19113137192919</v>
      </c>
      <c r="L60" s="3">
        <f t="shared" si="10"/>
        <v>0.186292996490503</v>
      </c>
      <c r="M60" s="3">
        <f t="shared" si="10"/>
        <v>0.181454621051816</v>
      </c>
      <c r="N60" s="3">
        <f t="shared" si="10"/>
        <v>0.176616245613129</v>
      </c>
      <c r="O60" s="3">
        <f t="shared" si="10"/>
        <v>0.171777870174442</v>
      </c>
      <c r="P60" s="3">
        <f t="shared" si="10"/>
        <v>0.166939494735755</v>
      </c>
      <c r="Q60" s="3">
        <f t="shared" si="10"/>
        <v>0.163831203856101</v>
      </c>
      <c r="R60" s="3">
        <f t="shared" ref="R60:AG75" si="11">(($B60-$AJ$2)*((R$2-$AJ$2)/($B$2-$AJ$2)))+$AJ$2</f>
        <v>0.160722912976447</v>
      </c>
      <c r="S60" s="3">
        <f t="shared" si="11"/>
        <v>0.157614622096793</v>
      </c>
      <c r="T60" s="3">
        <f t="shared" si="11"/>
        <v>0.154506331217138</v>
      </c>
      <c r="U60" s="3">
        <f t="shared" si="11"/>
        <v>0.151398040337484</v>
      </c>
      <c r="V60" s="3">
        <f t="shared" si="11"/>
        <v>0.147605528331869</v>
      </c>
      <c r="W60" s="3">
        <f t="shared" si="11"/>
        <v>0.143813016326254</v>
      </c>
      <c r="X60" s="3">
        <f t="shared" si="11"/>
        <v>0.140020504320639</v>
      </c>
      <c r="Y60" s="3">
        <f t="shared" si="11"/>
        <v>0.136227992315024</v>
      </c>
      <c r="Z60" s="3">
        <f t="shared" si="11"/>
        <v>0.132435480309409</v>
      </c>
      <c r="AA60" s="3">
        <f t="shared" si="11"/>
        <v>0.129566130732512</v>
      </c>
      <c r="AB60" s="3">
        <f t="shared" si="11"/>
        <v>0.126696781155614</v>
      </c>
      <c r="AC60" s="3">
        <f t="shared" si="11"/>
        <v>0.123827431578716</v>
      </c>
      <c r="AD60" s="3">
        <f t="shared" si="11"/>
        <v>0.120958082001818</v>
      </c>
      <c r="AE60" s="3">
        <f t="shared" si="11"/>
        <v>0.11808873242492</v>
      </c>
      <c r="AF60" s="3">
        <f t="shared" si="11"/>
        <v>0.105729241926884</v>
      </c>
      <c r="AG60" s="3">
        <f t="shared" si="11"/>
        <v>0.0933697514288484</v>
      </c>
      <c r="AH60" s="3">
        <f t="shared" si="8"/>
        <v>0.0810102609308126</v>
      </c>
      <c r="AI60" s="3">
        <f t="shared" si="8"/>
        <v>0.0686507704327769</v>
      </c>
      <c r="AJ60" s="3">
        <f t="shared" si="8"/>
        <v>0.0562912799347411</v>
      </c>
    </row>
    <row r="61" spans="1:36">
      <c r="A61" t="str">
        <f>"semis_archetype_"&amp;TEXT(ROUND(Table269[[#This Row],[2016]],3),"0.000")</f>
        <v>semis_archetype_0.220</v>
      </c>
      <c r="B61" s="3">
        <f t="shared" si="2"/>
        <v>0.22</v>
      </c>
      <c r="C61" s="3">
        <f t="shared" ref="C61:R76" si="12">(($B61-$AJ$2)*((C$2-$AJ$2)/($B$2-$AJ$2)))+$AJ$2</f>
        <v>0.22</v>
      </c>
      <c r="D61" s="3">
        <f t="shared" si="12"/>
        <v>0.22</v>
      </c>
      <c r="E61" s="3">
        <f t="shared" si="12"/>
        <v>0.215305018910959</v>
      </c>
      <c r="F61" s="3">
        <f t="shared" si="12"/>
        <v>0.210610037821919</v>
      </c>
      <c r="G61" s="3">
        <f t="shared" si="12"/>
        <v>0.205915056732878</v>
      </c>
      <c r="H61" s="3">
        <f t="shared" si="12"/>
        <v>0.201220075643837</v>
      </c>
      <c r="I61" s="3">
        <f t="shared" si="12"/>
        <v>0.196525094554796</v>
      </c>
      <c r="J61" s="3">
        <f t="shared" si="12"/>
        <v>0.191830113465756</v>
      </c>
      <c r="K61" s="3">
        <f t="shared" si="12"/>
        <v>0.187135132376715</v>
      </c>
      <c r="L61" s="3">
        <f t="shared" si="12"/>
        <v>0.182440151287674</v>
      </c>
      <c r="M61" s="3">
        <f t="shared" si="12"/>
        <v>0.177745170198634</v>
      </c>
      <c r="N61" s="3">
        <f t="shared" si="12"/>
        <v>0.173050189109593</v>
      </c>
      <c r="O61" s="3">
        <f t="shared" si="12"/>
        <v>0.168355208020552</v>
      </c>
      <c r="P61" s="3">
        <f t="shared" si="12"/>
        <v>0.163660226931512</v>
      </c>
      <c r="Q61" s="3">
        <f t="shared" si="12"/>
        <v>0.160644056093977</v>
      </c>
      <c r="R61" s="3">
        <f t="shared" si="12"/>
        <v>0.157627885256442</v>
      </c>
      <c r="S61" s="3">
        <f t="shared" si="11"/>
        <v>0.154611714418907</v>
      </c>
      <c r="T61" s="3">
        <f t="shared" si="11"/>
        <v>0.151595543581372</v>
      </c>
      <c r="U61" s="3">
        <f t="shared" si="11"/>
        <v>0.148579372743837</v>
      </c>
      <c r="V61" s="3">
        <f t="shared" si="11"/>
        <v>0.144899258959373</v>
      </c>
      <c r="W61" s="3">
        <f t="shared" si="11"/>
        <v>0.14121914517491</v>
      </c>
      <c r="X61" s="3">
        <f t="shared" si="11"/>
        <v>0.137539031390446</v>
      </c>
      <c r="Y61" s="3">
        <f t="shared" si="11"/>
        <v>0.133858917605983</v>
      </c>
      <c r="Z61" s="3">
        <f t="shared" si="11"/>
        <v>0.130178803821519</v>
      </c>
      <c r="AA61" s="3">
        <f t="shared" si="11"/>
        <v>0.127394492812153</v>
      </c>
      <c r="AB61" s="3">
        <f t="shared" si="11"/>
        <v>0.124610181802787</v>
      </c>
      <c r="AC61" s="3">
        <f t="shared" si="11"/>
        <v>0.121825870793421</v>
      </c>
      <c r="AD61" s="3">
        <f t="shared" si="11"/>
        <v>0.119041559784055</v>
      </c>
      <c r="AE61" s="3">
        <f t="shared" si="11"/>
        <v>0.116257248774689</v>
      </c>
      <c r="AF61" s="3">
        <f t="shared" si="11"/>
        <v>0.1042640550067</v>
      </c>
      <c r="AG61" s="3">
        <f t="shared" si="11"/>
        <v>0.0922708612387099</v>
      </c>
      <c r="AH61" s="3">
        <f t="shared" si="8"/>
        <v>0.0802776674707203</v>
      </c>
      <c r="AI61" s="3">
        <f t="shared" si="8"/>
        <v>0.0682844737027307</v>
      </c>
      <c r="AJ61" s="3">
        <f t="shared" si="8"/>
        <v>0.0562912799347411</v>
      </c>
    </row>
    <row r="62" spans="1:36">
      <c r="A62" t="str">
        <f>"semis_archetype_"&amp;TEXT(ROUND(Table269[[#This Row],[2016]],3),"0.000")</f>
        <v>semis_archetype_0.215</v>
      </c>
      <c r="B62" s="3">
        <f t="shared" si="2"/>
        <v>0.215</v>
      </c>
      <c r="C62" s="3">
        <f t="shared" si="12"/>
        <v>0.215</v>
      </c>
      <c r="D62" s="3">
        <f t="shared" si="12"/>
        <v>0.215</v>
      </c>
      <c r="E62" s="3">
        <f t="shared" si="12"/>
        <v>0.210448413260606</v>
      </c>
      <c r="F62" s="3">
        <f t="shared" si="12"/>
        <v>0.205896826521212</v>
      </c>
      <c r="G62" s="3">
        <f t="shared" si="12"/>
        <v>0.201345239781817</v>
      </c>
      <c r="H62" s="3">
        <f t="shared" si="12"/>
        <v>0.196793653042423</v>
      </c>
      <c r="I62" s="3">
        <f t="shared" si="12"/>
        <v>0.192242066303029</v>
      </c>
      <c r="J62" s="3">
        <f t="shared" si="12"/>
        <v>0.187690479563634</v>
      </c>
      <c r="K62" s="3">
        <f t="shared" si="12"/>
        <v>0.18313889282424</v>
      </c>
      <c r="L62" s="3">
        <f t="shared" si="12"/>
        <v>0.178587306084846</v>
      </c>
      <c r="M62" s="3">
        <f t="shared" si="12"/>
        <v>0.174035719345451</v>
      </c>
      <c r="N62" s="3">
        <f t="shared" si="12"/>
        <v>0.169484132606057</v>
      </c>
      <c r="O62" s="3">
        <f t="shared" si="12"/>
        <v>0.164932545866663</v>
      </c>
      <c r="P62" s="3">
        <f t="shared" si="12"/>
        <v>0.160380959127268</v>
      </c>
      <c r="Q62" s="3">
        <f t="shared" si="12"/>
        <v>0.157456908331853</v>
      </c>
      <c r="R62" s="3">
        <f t="shared" si="12"/>
        <v>0.154532857536437</v>
      </c>
      <c r="S62" s="3">
        <f t="shared" si="11"/>
        <v>0.151608806741021</v>
      </c>
      <c r="T62" s="3">
        <f t="shared" si="11"/>
        <v>0.148684755945605</v>
      </c>
      <c r="U62" s="3">
        <f t="shared" si="11"/>
        <v>0.145760705150189</v>
      </c>
      <c r="V62" s="3">
        <f t="shared" si="11"/>
        <v>0.142192989586877</v>
      </c>
      <c r="W62" s="3">
        <f t="shared" si="11"/>
        <v>0.138625274023565</v>
      </c>
      <c r="X62" s="3">
        <f t="shared" si="11"/>
        <v>0.135057558460253</v>
      </c>
      <c r="Y62" s="3">
        <f t="shared" si="11"/>
        <v>0.131489842896941</v>
      </c>
      <c r="Z62" s="3">
        <f t="shared" si="11"/>
        <v>0.127922127333629</v>
      </c>
      <c r="AA62" s="3">
        <f t="shared" si="11"/>
        <v>0.125222854891795</v>
      </c>
      <c r="AB62" s="3">
        <f t="shared" si="11"/>
        <v>0.122523582449961</v>
      </c>
      <c r="AC62" s="3">
        <f t="shared" si="11"/>
        <v>0.119824310008126</v>
      </c>
      <c r="AD62" s="3">
        <f t="shared" si="11"/>
        <v>0.117125037566292</v>
      </c>
      <c r="AE62" s="3">
        <f t="shared" si="11"/>
        <v>0.114425765124458</v>
      </c>
      <c r="AF62" s="3">
        <f t="shared" si="11"/>
        <v>0.102798868086515</v>
      </c>
      <c r="AG62" s="3">
        <f t="shared" si="11"/>
        <v>0.0911719710485714</v>
      </c>
      <c r="AH62" s="3">
        <f t="shared" si="8"/>
        <v>0.079545074010628</v>
      </c>
      <c r="AI62" s="3">
        <f t="shared" si="8"/>
        <v>0.0679181769726845</v>
      </c>
      <c r="AJ62" s="3">
        <f t="shared" si="8"/>
        <v>0.0562912799347411</v>
      </c>
    </row>
    <row r="63" spans="1:36">
      <c r="A63" t="str">
        <f>"semis_archetype_"&amp;TEXT(ROUND(Table269[[#This Row],[2016]],3),"0.000")</f>
        <v>semis_archetype_0.210</v>
      </c>
      <c r="B63" s="3">
        <f t="shared" si="2"/>
        <v>0.21</v>
      </c>
      <c r="C63" s="3">
        <f t="shared" si="12"/>
        <v>0.21</v>
      </c>
      <c r="D63" s="3">
        <f t="shared" si="12"/>
        <v>0.21</v>
      </c>
      <c r="E63" s="3">
        <f t="shared" si="12"/>
        <v>0.205591807610252</v>
      </c>
      <c r="F63" s="3">
        <f t="shared" si="12"/>
        <v>0.201183615220504</v>
      </c>
      <c r="G63" s="3">
        <f t="shared" si="12"/>
        <v>0.196775422830756</v>
      </c>
      <c r="H63" s="3">
        <f t="shared" si="12"/>
        <v>0.192367230441008</v>
      </c>
      <c r="I63" s="3">
        <f t="shared" si="12"/>
        <v>0.187959038051261</v>
      </c>
      <c r="J63" s="3">
        <f t="shared" si="12"/>
        <v>0.183550845661513</v>
      </c>
      <c r="K63" s="3">
        <f t="shared" si="12"/>
        <v>0.179142653271765</v>
      </c>
      <c r="L63" s="3">
        <f t="shared" si="12"/>
        <v>0.174734460882017</v>
      </c>
      <c r="M63" s="3">
        <f t="shared" si="12"/>
        <v>0.170326268492269</v>
      </c>
      <c r="N63" s="3">
        <f t="shared" si="12"/>
        <v>0.165918076102521</v>
      </c>
      <c r="O63" s="3">
        <f t="shared" si="12"/>
        <v>0.161509883712773</v>
      </c>
      <c r="P63" s="3">
        <f t="shared" si="12"/>
        <v>0.157101691323025</v>
      </c>
      <c r="Q63" s="3">
        <f t="shared" si="12"/>
        <v>0.154269760569729</v>
      </c>
      <c r="R63" s="3">
        <f t="shared" si="12"/>
        <v>0.151437829816432</v>
      </c>
      <c r="S63" s="3">
        <f t="shared" si="11"/>
        <v>0.148605899063135</v>
      </c>
      <c r="T63" s="3">
        <f t="shared" si="11"/>
        <v>0.145773968309838</v>
      </c>
      <c r="U63" s="3">
        <f t="shared" si="11"/>
        <v>0.142942037556541</v>
      </c>
      <c r="V63" s="3">
        <f t="shared" si="11"/>
        <v>0.139486720214381</v>
      </c>
      <c r="W63" s="3">
        <f t="shared" si="11"/>
        <v>0.13603140287222</v>
      </c>
      <c r="X63" s="3">
        <f t="shared" si="11"/>
        <v>0.13257608553006</v>
      </c>
      <c r="Y63" s="3">
        <f t="shared" si="11"/>
        <v>0.129120768187899</v>
      </c>
      <c r="Z63" s="3">
        <f t="shared" si="11"/>
        <v>0.125665450845738</v>
      </c>
      <c r="AA63" s="3">
        <f t="shared" si="11"/>
        <v>0.123051216971436</v>
      </c>
      <c r="AB63" s="3">
        <f t="shared" si="11"/>
        <v>0.120436983097134</v>
      </c>
      <c r="AC63" s="3">
        <f t="shared" si="11"/>
        <v>0.117822749222832</v>
      </c>
      <c r="AD63" s="3">
        <f t="shared" si="11"/>
        <v>0.11520851534853</v>
      </c>
      <c r="AE63" s="3">
        <f t="shared" si="11"/>
        <v>0.112594281474227</v>
      </c>
      <c r="AF63" s="3">
        <f t="shared" si="11"/>
        <v>0.10133368116633</v>
      </c>
      <c r="AG63" s="3">
        <f t="shared" si="11"/>
        <v>0.0900730808584329</v>
      </c>
      <c r="AH63" s="3">
        <f t="shared" si="8"/>
        <v>0.0788124805505356</v>
      </c>
      <c r="AI63" s="3">
        <f t="shared" si="8"/>
        <v>0.0675518802426383</v>
      </c>
      <c r="AJ63" s="3">
        <f t="shared" si="8"/>
        <v>0.0562912799347411</v>
      </c>
    </row>
    <row r="64" spans="1:36">
      <c r="A64" t="str">
        <f>"semis_archetype_"&amp;TEXT(ROUND(Table269[[#This Row],[2016]],3),"0.000")</f>
        <v>semis_archetype_0.205</v>
      </c>
      <c r="B64" s="3">
        <f t="shared" si="2"/>
        <v>0.205</v>
      </c>
      <c r="C64" s="3">
        <f t="shared" si="12"/>
        <v>0.205</v>
      </c>
      <c r="D64" s="3">
        <f t="shared" si="12"/>
        <v>0.205</v>
      </c>
      <c r="E64" s="3">
        <f t="shared" si="12"/>
        <v>0.200735201959899</v>
      </c>
      <c r="F64" s="3">
        <f t="shared" si="12"/>
        <v>0.196470403919797</v>
      </c>
      <c r="G64" s="3">
        <f t="shared" si="12"/>
        <v>0.192205605879696</v>
      </c>
      <c r="H64" s="3">
        <f t="shared" si="12"/>
        <v>0.187940807839594</v>
      </c>
      <c r="I64" s="3">
        <f t="shared" si="12"/>
        <v>0.183676009799493</v>
      </c>
      <c r="J64" s="3">
        <f t="shared" si="12"/>
        <v>0.179411211759391</v>
      </c>
      <c r="K64" s="3">
        <f t="shared" si="12"/>
        <v>0.17514641371929</v>
      </c>
      <c r="L64" s="3">
        <f t="shared" si="12"/>
        <v>0.170881615679188</v>
      </c>
      <c r="M64" s="3">
        <f t="shared" si="12"/>
        <v>0.166616817639087</v>
      </c>
      <c r="N64" s="3">
        <f t="shared" si="12"/>
        <v>0.162352019598985</v>
      </c>
      <c r="O64" s="3">
        <f t="shared" si="12"/>
        <v>0.158087221558884</v>
      </c>
      <c r="P64" s="3">
        <f t="shared" si="12"/>
        <v>0.153822423518782</v>
      </c>
      <c r="Q64" s="3">
        <f t="shared" si="12"/>
        <v>0.151082612807605</v>
      </c>
      <c r="R64" s="3">
        <f t="shared" si="12"/>
        <v>0.148342802096427</v>
      </c>
      <c r="S64" s="3">
        <f t="shared" si="11"/>
        <v>0.145602991385249</v>
      </c>
      <c r="T64" s="3">
        <f t="shared" si="11"/>
        <v>0.142863180674071</v>
      </c>
      <c r="U64" s="3">
        <f t="shared" si="11"/>
        <v>0.140123369962894</v>
      </c>
      <c r="V64" s="3">
        <f t="shared" si="11"/>
        <v>0.136780450841885</v>
      </c>
      <c r="W64" s="3">
        <f t="shared" si="11"/>
        <v>0.133437531720876</v>
      </c>
      <c r="X64" s="3">
        <f t="shared" si="11"/>
        <v>0.130094612599866</v>
      </c>
      <c r="Y64" s="3">
        <f t="shared" si="11"/>
        <v>0.126751693478857</v>
      </c>
      <c r="Z64" s="3">
        <f t="shared" si="11"/>
        <v>0.123408774357848</v>
      </c>
      <c r="AA64" s="3">
        <f t="shared" si="11"/>
        <v>0.120879579051078</v>
      </c>
      <c r="AB64" s="3">
        <f t="shared" si="11"/>
        <v>0.118350383744308</v>
      </c>
      <c r="AC64" s="3">
        <f t="shared" si="11"/>
        <v>0.115821188437537</v>
      </c>
      <c r="AD64" s="3">
        <f t="shared" si="11"/>
        <v>0.113291993130767</v>
      </c>
      <c r="AE64" s="3">
        <f t="shared" si="11"/>
        <v>0.110762797823997</v>
      </c>
      <c r="AF64" s="3">
        <f t="shared" si="11"/>
        <v>0.0998684942461455</v>
      </c>
      <c r="AG64" s="3">
        <f t="shared" si="11"/>
        <v>0.0889741906682944</v>
      </c>
      <c r="AH64" s="3">
        <f t="shared" si="8"/>
        <v>0.0780798870904433</v>
      </c>
      <c r="AI64" s="3">
        <f t="shared" si="8"/>
        <v>0.0671855835125922</v>
      </c>
      <c r="AJ64" s="3">
        <f t="shared" si="8"/>
        <v>0.0562912799347411</v>
      </c>
    </row>
    <row r="65" spans="1:36">
      <c r="A65" t="str">
        <f>"semis_archetype_"&amp;TEXT(ROUND(Table269[[#This Row],[2016]],3),"0.000")</f>
        <v>semis_archetype_0.200</v>
      </c>
      <c r="B65" s="3">
        <f t="shared" si="2"/>
        <v>0.2</v>
      </c>
      <c r="C65" s="3">
        <f t="shared" si="12"/>
        <v>0.2</v>
      </c>
      <c r="D65" s="3">
        <f t="shared" si="12"/>
        <v>0.2</v>
      </c>
      <c r="E65" s="3">
        <f t="shared" si="12"/>
        <v>0.195878596309545</v>
      </c>
      <c r="F65" s="3">
        <f t="shared" si="12"/>
        <v>0.19175719261909</v>
      </c>
      <c r="G65" s="3">
        <f t="shared" si="12"/>
        <v>0.187635788928635</v>
      </c>
      <c r="H65" s="3">
        <f t="shared" si="12"/>
        <v>0.18351438523818</v>
      </c>
      <c r="I65" s="3">
        <f t="shared" si="12"/>
        <v>0.179392981547725</v>
      </c>
      <c r="J65" s="3">
        <f t="shared" si="12"/>
        <v>0.17527157785727</v>
      </c>
      <c r="K65" s="3">
        <f t="shared" si="12"/>
        <v>0.171150174166814</v>
      </c>
      <c r="L65" s="3">
        <f t="shared" si="12"/>
        <v>0.167028770476359</v>
      </c>
      <c r="M65" s="3">
        <f t="shared" si="12"/>
        <v>0.162907366785904</v>
      </c>
      <c r="N65" s="3">
        <f t="shared" si="12"/>
        <v>0.158785963095449</v>
      </c>
      <c r="O65" s="3">
        <f t="shared" si="12"/>
        <v>0.154664559404994</v>
      </c>
      <c r="P65" s="3">
        <f t="shared" si="12"/>
        <v>0.150543155714539</v>
      </c>
      <c r="Q65" s="3">
        <f t="shared" si="12"/>
        <v>0.147895465045481</v>
      </c>
      <c r="R65" s="3">
        <f t="shared" si="12"/>
        <v>0.145247774376422</v>
      </c>
      <c r="S65" s="3">
        <f t="shared" si="11"/>
        <v>0.142600083707363</v>
      </c>
      <c r="T65" s="3">
        <f t="shared" si="11"/>
        <v>0.139952393038305</v>
      </c>
      <c r="U65" s="3">
        <f t="shared" si="11"/>
        <v>0.137304702369246</v>
      </c>
      <c r="V65" s="3">
        <f t="shared" si="11"/>
        <v>0.134074181469388</v>
      </c>
      <c r="W65" s="3">
        <f t="shared" si="11"/>
        <v>0.130843660569531</v>
      </c>
      <c r="X65" s="3">
        <f t="shared" si="11"/>
        <v>0.127613139669673</v>
      </c>
      <c r="Y65" s="3">
        <f t="shared" si="11"/>
        <v>0.124382618769815</v>
      </c>
      <c r="Z65" s="3">
        <f t="shared" si="11"/>
        <v>0.121152097869958</v>
      </c>
      <c r="AA65" s="3">
        <f t="shared" si="11"/>
        <v>0.118707941130719</v>
      </c>
      <c r="AB65" s="3">
        <f t="shared" si="11"/>
        <v>0.116263784391481</v>
      </c>
      <c r="AC65" s="3">
        <f t="shared" si="11"/>
        <v>0.113819627652243</v>
      </c>
      <c r="AD65" s="3">
        <f t="shared" si="11"/>
        <v>0.111375470913004</v>
      </c>
      <c r="AE65" s="3">
        <f t="shared" si="11"/>
        <v>0.108931314173766</v>
      </c>
      <c r="AF65" s="3">
        <f t="shared" si="11"/>
        <v>0.0984033073259608</v>
      </c>
      <c r="AG65" s="3">
        <f t="shared" si="11"/>
        <v>0.0878753004781559</v>
      </c>
      <c r="AH65" s="3">
        <f t="shared" si="8"/>
        <v>0.0773472936303509</v>
      </c>
      <c r="AI65" s="3">
        <f t="shared" si="8"/>
        <v>0.066819286782546</v>
      </c>
      <c r="AJ65" s="3">
        <f t="shared" si="8"/>
        <v>0.0562912799347411</v>
      </c>
    </row>
    <row r="66" spans="1:36">
      <c r="A66" t="str">
        <f>"semis_archetype_"&amp;TEXT(ROUND(Table269[[#This Row],[2016]],3),"0.000")</f>
        <v>semis_archetype_0.195</v>
      </c>
      <c r="B66" s="3">
        <f t="shared" si="2"/>
        <v>0.195</v>
      </c>
      <c r="C66" s="3">
        <f t="shared" si="12"/>
        <v>0.195</v>
      </c>
      <c r="D66" s="3">
        <f t="shared" si="12"/>
        <v>0.195</v>
      </c>
      <c r="E66" s="3">
        <f t="shared" si="12"/>
        <v>0.191021990659191</v>
      </c>
      <c r="F66" s="3">
        <f t="shared" si="12"/>
        <v>0.187043981318383</v>
      </c>
      <c r="G66" s="3">
        <f t="shared" si="12"/>
        <v>0.183065971977574</v>
      </c>
      <c r="H66" s="3">
        <f t="shared" si="12"/>
        <v>0.179087962636765</v>
      </c>
      <c r="I66" s="3">
        <f t="shared" si="12"/>
        <v>0.175109953295957</v>
      </c>
      <c r="J66" s="3">
        <f t="shared" si="12"/>
        <v>0.171131943955148</v>
      </c>
      <c r="K66" s="3">
        <f t="shared" si="12"/>
        <v>0.167153934614339</v>
      </c>
      <c r="L66" s="3">
        <f t="shared" si="12"/>
        <v>0.163175925273531</v>
      </c>
      <c r="M66" s="3">
        <f t="shared" si="12"/>
        <v>0.159197915932722</v>
      </c>
      <c r="N66" s="3">
        <f t="shared" si="12"/>
        <v>0.155219906591913</v>
      </c>
      <c r="O66" s="3">
        <f t="shared" si="12"/>
        <v>0.151241897251105</v>
      </c>
      <c r="P66" s="3">
        <f t="shared" si="12"/>
        <v>0.147263887910296</v>
      </c>
      <c r="Q66" s="3">
        <f t="shared" si="12"/>
        <v>0.144708317283357</v>
      </c>
      <c r="R66" s="3">
        <f t="shared" si="12"/>
        <v>0.142152746656417</v>
      </c>
      <c r="S66" s="3">
        <f t="shared" si="11"/>
        <v>0.139597176029478</v>
      </c>
      <c r="T66" s="3">
        <f t="shared" si="11"/>
        <v>0.137041605402538</v>
      </c>
      <c r="U66" s="3">
        <f t="shared" si="11"/>
        <v>0.134486034775599</v>
      </c>
      <c r="V66" s="3">
        <f t="shared" si="11"/>
        <v>0.131367912096892</v>
      </c>
      <c r="W66" s="3">
        <f t="shared" si="11"/>
        <v>0.128249789418186</v>
      </c>
      <c r="X66" s="3">
        <f t="shared" si="11"/>
        <v>0.12513166673948</v>
      </c>
      <c r="Y66" s="3">
        <f t="shared" si="11"/>
        <v>0.122013544060774</v>
      </c>
      <c r="Z66" s="3">
        <f t="shared" si="11"/>
        <v>0.118895421382067</v>
      </c>
      <c r="AA66" s="3">
        <f t="shared" si="11"/>
        <v>0.116536303210361</v>
      </c>
      <c r="AB66" s="3">
        <f t="shared" si="11"/>
        <v>0.114177185038654</v>
      </c>
      <c r="AC66" s="3">
        <f t="shared" si="11"/>
        <v>0.111818066866948</v>
      </c>
      <c r="AD66" s="3">
        <f t="shared" si="11"/>
        <v>0.109458948695241</v>
      </c>
      <c r="AE66" s="3">
        <f t="shared" si="11"/>
        <v>0.107099830523535</v>
      </c>
      <c r="AF66" s="3">
        <f t="shared" si="11"/>
        <v>0.0969381204057762</v>
      </c>
      <c r="AG66" s="3">
        <f t="shared" si="11"/>
        <v>0.0867764102880174</v>
      </c>
      <c r="AH66" s="3">
        <f t="shared" si="8"/>
        <v>0.0766147001702586</v>
      </c>
      <c r="AI66" s="3">
        <f t="shared" si="8"/>
        <v>0.0664529900524998</v>
      </c>
      <c r="AJ66" s="3">
        <f t="shared" si="8"/>
        <v>0.0562912799347411</v>
      </c>
    </row>
    <row r="67" spans="1:36">
      <c r="A67" t="str">
        <f>"semis_archetype_"&amp;TEXT(ROUND(Table269[[#This Row],[2016]],3),"0.000")</f>
        <v>semis_archetype_0.190</v>
      </c>
      <c r="B67" s="3">
        <f t="shared" si="2"/>
        <v>0.19</v>
      </c>
      <c r="C67" s="3">
        <f t="shared" si="12"/>
        <v>0.19</v>
      </c>
      <c r="D67" s="3">
        <f t="shared" si="12"/>
        <v>0.19</v>
      </c>
      <c r="E67" s="3">
        <f t="shared" si="12"/>
        <v>0.186165385008838</v>
      </c>
      <c r="F67" s="3">
        <f t="shared" si="12"/>
        <v>0.182330770017676</v>
      </c>
      <c r="G67" s="3">
        <f t="shared" si="12"/>
        <v>0.178496155026513</v>
      </c>
      <c r="H67" s="3">
        <f t="shared" si="12"/>
        <v>0.174661540035351</v>
      </c>
      <c r="I67" s="3">
        <f t="shared" si="12"/>
        <v>0.170826925044189</v>
      </c>
      <c r="J67" s="3">
        <f t="shared" si="12"/>
        <v>0.166992310053026</v>
      </c>
      <c r="K67" s="3">
        <f t="shared" si="12"/>
        <v>0.163157695061864</v>
      </c>
      <c r="L67" s="3">
        <f t="shared" si="12"/>
        <v>0.159323080070702</v>
      </c>
      <c r="M67" s="3">
        <f t="shared" si="12"/>
        <v>0.15548846507954</v>
      </c>
      <c r="N67" s="3">
        <f t="shared" si="12"/>
        <v>0.151653850088377</v>
      </c>
      <c r="O67" s="3">
        <f t="shared" si="12"/>
        <v>0.147819235097215</v>
      </c>
      <c r="P67" s="3">
        <f t="shared" si="12"/>
        <v>0.143984620106053</v>
      </c>
      <c r="Q67" s="3">
        <f t="shared" si="12"/>
        <v>0.141521169521233</v>
      </c>
      <c r="R67" s="3">
        <f t="shared" si="12"/>
        <v>0.139057718936412</v>
      </c>
      <c r="S67" s="3">
        <f t="shared" si="11"/>
        <v>0.136594268351592</v>
      </c>
      <c r="T67" s="3">
        <f t="shared" si="11"/>
        <v>0.134130817766771</v>
      </c>
      <c r="U67" s="3">
        <f t="shared" si="11"/>
        <v>0.131667367181951</v>
      </c>
      <c r="V67" s="3">
        <f t="shared" si="11"/>
        <v>0.128661642724396</v>
      </c>
      <c r="W67" s="3">
        <f t="shared" si="11"/>
        <v>0.125655918266841</v>
      </c>
      <c r="X67" s="3">
        <f t="shared" si="11"/>
        <v>0.122650193809287</v>
      </c>
      <c r="Y67" s="3">
        <f t="shared" si="11"/>
        <v>0.119644469351732</v>
      </c>
      <c r="Z67" s="3">
        <f t="shared" si="11"/>
        <v>0.116638744894177</v>
      </c>
      <c r="AA67" s="3">
        <f t="shared" si="11"/>
        <v>0.114364665290002</v>
      </c>
      <c r="AB67" s="3">
        <f t="shared" si="11"/>
        <v>0.112090585685828</v>
      </c>
      <c r="AC67" s="3">
        <f t="shared" si="11"/>
        <v>0.109816506081653</v>
      </c>
      <c r="AD67" s="3">
        <f t="shared" si="11"/>
        <v>0.107542426477479</v>
      </c>
      <c r="AE67" s="3">
        <f t="shared" si="11"/>
        <v>0.105268346873304</v>
      </c>
      <c r="AF67" s="3">
        <f t="shared" si="11"/>
        <v>0.0954729334855915</v>
      </c>
      <c r="AG67" s="3">
        <f t="shared" si="11"/>
        <v>0.0856775200978789</v>
      </c>
      <c r="AH67" s="3">
        <f t="shared" si="8"/>
        <v>0.0758821067101663</v>
      </c>
      <c r="AI67" s="3">
        <f t="shared" si="8"/>
        <v>0.0660866933224537</v>
      </c>
      <c r="AJ67" s="3">
        <f t="shared" si="8"/>
        <v>0.0562912799347411</v>
      </c>
    </row>
    <row r="68" spans="1:36">
      <c r="A68" t="str">
        <f>"semis_archetype_"&amp;TEXT(ROUND(Table269[[#This Row],[2016]],3),"0.000")</f>
        <v>semis_archetype_0.185</v>
      </c>
      <c r="B68" s="3">
        <f t="shared" si="2"/>
        <v>0.185</v>
      </c>
      <c r="C68" s="3">
        <f t="shared" si="12"/>
        <v>0.185</v>
      </c>
      <c r="D68" s="3">
        <f t="shared" si="12"/>
        <v>0.185</v>
      </c>
      <c r="E68" s="3">
        <f t="shared" si="12"/>
        <v>0.181308779358484</v>
      </c>
      <c r="F68" s="3">
        <f t="shared" si="12"/>
        <v>0.177617558716969</v>
      </c>
      <c r="G68" s="3">
        <f t="shared" si="12"/>
        <v>0.173926338075452</v>
      </c>
      <c r="H68" s="3">
        <f t="shared" si="12"/>
        <v>0.170235117433937</v>
      </c>
      <c r="I68" s="3">
        <f t="shared" si="12"/>
        <v>0.166543896792421</v>
      </c>
      <c r="J68" s="3">
        <f t="shared" si="12"/>
        <v>0.162852676150905</v>
      </c>
      <c r="K68" s="3">
        <f t="shared" si="12"/>
        <v>0.159161455509389</v>
      </c>
      <c r="L68" s="3">
        <f t="shared" si="12"/>
        <v>0.155470234867873</v>
      </c>
      <c r="M68" s="3">
        <f t="shared" si="12"/>
        <v>0.151779014226357</v>
      </c>
      <c r="N68" s="3">
        <f t="shared" si="12"/>
        <v>0.148087793584841</v>
      </c>
      <c r="O68" s="3">
        <f t="shared" si="12"/>
        <v>0.144396572943326</v>
      </c>
      <c r="P68" s="3">
        <f t="shared" si="12"/>
        <v>0.14070535230181</v>
      </c>
      <c r="Q68" s="3">
        <f t="shared" si="12"/>
        <v>0.138334021759108</v>
      </c>
      <c r="R68" s="3">
        <f t="shared" si="12"/>
        <v>0.135962691216407</v>
      </c>
      <c r="S68" s="3">
        <f t="shared" si="11"/>
        <v>0.133591360673706</v>
      </c>
      <c r="T68" s="3">
        <f t="shared" si="11"/>
        <v>0.131220030131005</v>
      </c>
      <c r="U68" s="3">
        <f t="shared" si="11"/>
        <v>0.128848699588303</v>
      </c>
      <c r="V68" s="3">
        <f t="shared" si="11"/>
        <v>0.1259553733519</v>
      </c>
      <c r="W68" s="3">
        <f t="shared" si="11"/>
        <v>0.123062047115497</v>
      </c>
      <c r="X68" s="3">
        <f t="shared" si="11"/>
        <v>0.120168720879093</v>
      </c>
      <c r="Y68" s="3">
        <f t="shared" si="11"/>
        <v>0.11727539464269</v>
      </c>
      <c r="Z68" s="3">
        <f t="shared" si="11"/>
        <v>0.114382068406287</v>
      </c>
      <c r="AA68" s="3">
        <f t="shared" si="11"/>
        <v>0.112193027369644</v>
      </c>
      <c r="AB68" s="3">
        <f t="shared" si="11"/>
        <v>0.110003986333001</v>
      </c>
      <c r="AC68" s="3">
        <f t="shared" si="11"/>
        <v>0.107814945296359</v>
      </c>
      <c r="AD68" s="3">
        <f t="shared" si="11"/>
        <v>0.105625904259716</v>
      </c>
      <c r="AE68" s="3">
        <f t="shared" si="11"/>
        <v>0.103436863223073</v>
      </c>
      <c r="AF68" s="3">
        <f t="shared" si="11"/>
        <v>0.0940077465654068</v>
      </c>
      <c r="AG68" s="3">
        <f t="shared" si="11"/>
        <v>0.0845786299077404</v>
      </c>
      <c r="AH68" s="3">
        <f t="shared" si="8"/>
        <v>0.0751495132500739</v>
      </c>
      <c r="AI68" s="3">
        <f t="shared" si="8"/>
        <v>0.0657203965924075</v>
      </c>
      <c r="AJ68" s="3">
        <f t="shared" si="8"/>
        <v>0.0562912799347411</v>
      </c>
    </row>
    <row r="69" spans="1:36">
      <c r="A69" t="str">
        <f>"semis_archetype_"&amp;TEXT(ROUND(Table269[[#This Row],[2016]],3),"0.000")</f>
        <v>semis_archetype_0.180</v>
      </c>
      <c r="B69" s="3">
        <f t="shared" si="2"/>
        <v>0.18</v>
      </c>
      <c r="C69" s="3">
        <f t="shared" si="12"/>
        <v>0.18</v>
      </c>
      <c r="D69" s="3">
        <f t="shared" si="12"/>
        <v>0.18</v>
      </c>
      <c r="E69" s="3">
        <f t="shared" si="12"/>
        <v>0.176452173708131</v>
      </c>
      <c r="F69" s="3">
        <f t="shared" si="12"/>
        <v>0.172904347416261</v>
      </c>
      <c r="G69" s="3">
        <f t="shared" si="12"/>
        <v>0.169356521124392</v>
      </c>
      <c r="H69" s="3">
        <f t="shared" si="12"/>
        <v>0.165808694832522</v>
      </c>
      <c r="I69" s="3">
        <f t="shared" si="12"/>
        <v>0.162260868540653</v>
      </c>
      <c r="J69" s="3">
        <f t="shared" si="12"/>
        <v>0.158713042248783</v>
      </c>
      <c r="K69" s="3">
        <f t="shared" si="12"/>
        <v>0.155165215956914</v>
      </c>
      <c r="L69" s="3">
        <f t="shared" si="12"/>
        <v>0.151617389665044</v>
      </c>
      <c r="M69" s="3">
        <f t="shared" si="12"/>
        <v>0.148069563373175</v>
      </c>
      <c r="N69" s="3">
        <f t="shared" si="12"/>
        <v>0.144521737081306</v>
      </c>
      <c r="O69" s="3">
        <f t="shared" si="12"/>
        <v>0.140973910789436</v>
      </c>
      <c r="P69" s="3">
        <f t="shared" si="12"/>
        <v>0.137426084497567</v>
      </c>
      <c r="Q69" s="3">
        <f t="shared" si="12"/>
        <v>0.135146873996984</v>
      </c>
      <c r="R69" s="3">
        <f t="shared" si="12"/>
        <v>0.132867663496402</v>
      </c>
      <c r="S69" s="3">
        <f t="shared" si="11"/>
        <v>0.13058845299582</v>
      </c>
      <c r="T69" s="3">
        <f t="shared" si="11"/>
        <v>0.128309242495238</v>
      </c>
      <c r="U69" s="3">
        <f t="shared" si="11"/>
        <v>0.126030031994656</v>
      </c>
      <c r="V69" s="3">
        <f t="shared" si="11"/>
        <v>0.123249103979404</v>
      </c>
      <c r="W69" s="3">
        <f t="shared" si="11"/>
        <v>0.120468175964152</v>
      </c>
      <c r="X69" s="3">
        <f t="shared" si="11"/>
        <v>0.1176872479489</v>
      </c>
      <c r="Y69" s="3">
        <f t="shared" si="11"/>
        <v>0.114906319933648</v>
      </c>
      <c r="Z69" s="3">
        <f t="shared" si="11"/>
        <v>0.112125391918396</v>
      </c>
      <c r="AA69" s="3">
        <f t="shared" si="11"/>
        <v>0.110021389449286</v>
      </c>
      <c r="AB69" s="3">
        <f t="shared" si="11"/>
        <v>0.107917386980175</v>
      </c>
      <c r="AC69" s="3">
        <f t="shared" si="11"/>
        <v>0.105813384511064</v>
      </c>
      <c r="AD69" s="3">
        <f t="shared" si="11"/>
        <v>0.103709382041953</v>
      </c>
      <c r="AE69" s="3">
        <f t="shared" si="11"/>
        <v>0.101605379572842</v>
      </c>
      <c r="AF69" s="3">
        <f t="shared" si="11"/>
        <v>0.0925425596452221</v>
      </c>
      <c r="AG69" s="3">
        <f t="shared" si="11"/>
        <v>0.0834797397176018</v>
      </c>
      <c r="AH69" s="3">
        <f t="shared" si="8"/>
        <v>0.0744169197899816</v>
      </c>
      <c r="AI69" s="3">
        <f t="shared" si="8"/>
        <v>0.0653540998623613</v>
      </c>
      <c r="AJ69" s="3">
        <f t="shared" si="8"/>
        <v>0.0562912799347411</v>
      </c>
    </row>
    <row r="70" spans="1:36">
      <c r="A70" t="str">
        <f>"semis_archetype_"&amp;TEXT(ROUND(Table269[[#This Row],[2016]],3),"0.000")</f>
        <v>semis_archetype_0.175</v>
      </c>
      <c r="B70" s="3">
        <f t="shared" si="2"/>
        <v>0.175</v>
      </c>
      <c r="C70" s="3">
        <f t="shared" si="12"/>
        <v>0.175</v>
      </c>
      <c r="D70" s="3">
        <f t="shared" si="12"/>
        <v>0.175</v>
      </c>
      <c r="E70" s="3">
        <f t="shared" si="12"/>
        <v>0.171595568057777</v>
      </c>
      <c r="F70" s="3">
        <f t="shared" si="12"/>
        <v>0.168191136115554</v>
      </c>
      <c r="G70" s="3">
        <f t="shared" si="12"/>
        <v>0.164786704173331</v>
      </c>
      <c r="H70" s="3">
        <f t="shared" si="12"/>
        <v>0.161382272231108</v>
      </c>
      <c r="I70" s="3">
        <f t="shared" si="12"/>
        <v>0.157977840288885</v>
      </c>
      <c r="J70" s="3">
        <f t="shared" si="12"/>
        <v>0.154573408346662</v>
      </c>
      <c r="K70" s="3">
        <f t="shared" si="12"/>
        <v>0.151168976404439</v>
      </c>
      <c r="L70" s="3">
        <f t="shared" si="12"/>
        <v>0.147764544462216</v>
      </c>
      <c r="M70" s="3">
        <f t="shared" si="12"/>
        <v>0.144360112519993</v>
      </c>
      <c r="N70" s="3">
        <f t="shared" si="12"/>
        <v>0.14095568057777</v>
      </c>
      <c r="O70" s="3">
        <f t="shared" si="12"/>
        <v>0.137551248635547</v>
      </c>
      <c r="P70" s="3">
        <f t="shared" si="12"/>
        <v>0.134146816693324</v>
      </c>
      <c r="Q70" s="3">
        <f t="shared" si="12"/>
        <v>0.13195972623486</v>
      </c>
      <c r="R70" s="3">
        <f t="shared" si="12"/>
        <v>0.129772635776397</v>
      </c>
      <c r="S70" s="3">
        <f t="shared" si="11"/>
        <v>0.127585545317934</v>
      </c>
      <c r="T70" s="3">
        <f t="shared" si="11"/>
        <v>0.125398454859471</v>
      </c>
      <c r="U70" s="3">
        <f t="shared" si="11"/>
        <v>0.123211364401008</v>
      </c>
      <c r="V70" s="3">
        <f t="shared" si="11"/>
        <v>0.120542834606908</v>
      </c>
      <c r="W70" s="3">
        <f t="shared" si="11"/>
        <v>0.117874304812807</v>
      </c>
      <c r="X70" s="3">
        <f t="shared" si="11"/>
        <v>0.115205775018707</v>
      </c>
      <c r="Y70" s="3">
        <f t="shared" si="11"/>
        <v>0.112537245224606</v>
      </c>
      <c r="Z70" s="3">
        <f t="shared" si="11"/>
        <v>0.109868715430506</v>
      </c>
      <c r="AA70" s="3">
        <f t="shared" si="11"/>
        <v>0.107849751528927</v>
      </c>
      <c r="AB70" s="3">
        <f t="shared" si="11"/>
        <v>0.105830787627348</v>
      </c>
      <c r="AC70" s="3">
        <f t="shared" si="11"/>
        <v>0.103811823725769</v>
      </c>
      <c r="AD70" s="3">
        <f t="shared" si="11"/>
        <v>0.10179285982419</v>
      </c>
      <c r="AE70" s="3">
        <f t="shared" si="11"/>
        <v>0.0997738959226115</v>
      </c>
      <c r="AF70" s="3">
        <f t="shared" si="11"/>
        <v>0.0910773727250374</v>
      </c>
      <c r="AG70" s="3">
        <f t="shared" si="11"/>
        <v>0.0823808495274633</v>
      </c>
      <c r="AH70" s="3">
        <f t="shared" si="8"/>
        <v>0.0736843263298892</v>
      </c>
      <c r="AI70" s="3">
        <f t="shared" si="8"/>
        <v>0.0649878031323152</v>
      </c>
      <c r="AJ70" s="3">
        <f t="shared" si="8"/>
        <v>0.0562912799347411</v>
      </c>
    </row>
    <row r="71" spans="1:36">
      <c r="A71" t="str">
        <f>"semis_archetype_"&amp;TEXT(ROUND(Table269[[#This Row],[2016]],3),"0.000")</f>
        <v>semis_archetype_0.170</v>
      </c>
      <c r="B71" s="3">
        <f t="shared" ref="B71:B93" si="13">MROUND(B70-0.005,0.005)</f>
        <v>0.17</v>
      </c>
      <c r="C71" s="3">
        <f t="shared" si="12"/>
        <v>0.17</v>
      </c>
      <c r="D71" s="3">
        <f t="shared" si="12"/>
        <v>0.17</v>
      </c>
      <c r="E71" s="3">
        <f t="shared" si="12"/>
        <v>0.166738962407423</v>
      </c>
      <c r="F71" s="3">
        <f t="shared" si="12"/>
        <v>0.163477924814847</v>
      </c>
      <c r="G71" s="3">
        <f t="shared" si="12"/>
        <v>0.16021688722227</v>
      </c>
      <c r="H71" s="3">
        <f t="shared" si="12"/>
        <v>0.156955849629693</v>
      </c>
      <c r="I71" s="3">
        <f t="shared" si="12"/>
        <v>0.153694812037117</v>
      </c>
      <c r="J71" s="3">
        <f t="shared" si="12"/>
        <v>0.15043377444454</v>
      </c>
      <c r="K71" s="3">
        <f t="shared" si="12"/>
        <v>0.147172736851964</v>
      </c>
      <c r="L71" s="3">
        <f t="shared" si="12"/>
        <v>0.143911699259387</v>
      </c>
      <c r="M71" s="3">
        <f t="shared" si="12"/>
        <v>0.14065066166681</v>
      </c>
      <c r="N71" s="3">
        <f t="shared" si="12"/>
        <v>0.137389624074234</v>
      </c>
      <c r="O71" s="3">
        <f t="shared" si="12"/>
        <v>0.134128586481657</v>
      </c>
      <c r="P71" s="3">
        <f t="shared" si="12"/>
        <v>0.13086754888908</v>
      </c>
      <c r="Q71" s="3">
        <f t="shared" si="12"/>
        <v>0.128772578472736</v>
      </c>
      <c r="R71" s="3">
        <f t="shared" si="12"/>
        <v>0.126677608056392</v>
      </c>
      <c r="S71" s="3">
        <f t="shared" si="11"/>
        <v>0.124582637640048</v>
      </c>
      <c r="T71" s="3">
        <f t="shared" si="11"/>
        <v>0.122487667223704</v>
      </c>
      <c r="U71" s="3">
        <f t="shared" si="11"/>
        <v>0.12039269680736</v>
      </c>
      <c r="V71" s="3">
        <f t="shared" si="11"/>
        <v>0.117836565234411</v>
      </c>
      <c r="W71" s="3">
        <f t="shared" si="11"/>
        <v>0.115280433661462</v>
      </c>
      <c r="X71" s="3">
        <f t="shared" si="11"/>
        <v>0.112724302088514</v>
      </c>
      <c r="Y71" s="3">
        <f t="shared" si="11"/>
        <v>0.110168170515565</v>
      </c>
      <c r="Z71" s="3">
        <f t="shared" si="11"/>
        <v>0.107612038942616</v>
      </c>
      <c r="AA71" s="3">
        <f t="shared" si="11"/>
        <v>0.105678113608569</v>
      </c>
      <c r="AB71" s="3">
        <f t="shared" si="11"/>
        <v>0.103744188274522</v>
      </c>
      <c r="AC71" s="3">
        <f t="shared" si="11"/>
        <v>0.101810262940475</v>
      </c>
      <c r="AD71" s="3">
        <f t="shared" si="11"/>
        <v>0.0998763376064277</v>
      </c>
      <c r="AE71" s="3">
        <f t="shared" si="11"/>
        <v>0.0979424122723807</v>
      </c>
      <c r="AF71" s="3">
        <f t="shared" si="11"/>
        <v>0.0896121858048528</v>
      </c>
      <c r="AG71" s="3">
        <f t="shared" si="11"/>
        <v>0.0812819593373248</v>
      </c>
      <c r="AH71" s="3">
        <f t="shared" si="8"/>
        <v>0.0729517328697969</v>
      </c>
      <c r="AI71" s="3">
        <f t="shared" si="8"/>
        <v>0.064621506402269</v>
      </c>
      <c r="AJ71" s="3">
        <f t="shared" si="8"/>
        <v>0.0562912799347411</v>
      </c>
    </row>
    <row r="72" spans="1:36">
      <c r="A72" t="str">
        <f>"semis_archetype_"&amp;TEXT(ROUND(Table269[[#This Row],[2016]],3),"0.000")</f>
        <v>semis_archetype_0.165</v>
      </c>
      <c r="B72" s="3">
        <f t="shared" si="13"/>
        <v>0.165</v>
      </c>
      <c r="C72" s="3">
        <f t="shared" si="12"/>
        <v>0.165</v>
      </c>
      <c r="D72" s="3">
        <f t="shared" si="12"/>
        <v>0.165</v>
      </c>
      <c r="E72" s="3">
        <f t="shared" si="12"/>
        <v>0.16188235675707</v>
      </c>
      <c r="F72" s="3">
        <f t="shared" si="12"/>
        <v>0.15876471351414</v>
      </c>
      <c r="G72" s="3">
        <f t="shared" si="12"/>
        <v>0.155647070271209</v>
      </c>
      <c r="H72" s="3">
        <f t="shared" si="12"/>
        <v>0.152529427028279</v>
      </c>
      <c r="I72" s="3">
        <f t="shared" si="12"/>
        <v>0.149411783785349</v>
      </c>
      <c r="J72" s="3">
        <f t="shared" si="12"/>
        <v>0.146294140542419</v>
      </c>
      <c r="K72" s="3">
        <f t="shared" si="12"/>
        <v>0.143176497299488</v>
      </c>
      <c r="L72" s="3">
        <f t="shared" si="12"/>
        <v>0.140058854056558</v>
      </c>
      <c r="M72" s="3">
        <f t="shared" si="12"/>
        <v>0.136941210813628</v>
      </c>
      <c r="N72" s="3">
        <f t="shared" si="12"/>
        <v>0.133823567570698</v>
      </c>
      <c r="O72" s="3">
        <f t="shared" si="12"/>
        <v>0.130705924327768</v>
      </c>
      <c r="P72" s="3">
        <f t="shared" si="12"/>
        <v>0.127588281084837</v>
      </c>
      <c r="Q72" s="3">
        <f t="shared" si="12"/>
        <v>0.125585430710612</v>
      </c>
      <c r="R72" s="3">
        <f t="shared" si="12"/>
        <v>0.123582580336387</v>
      </c>
      <c r="S72" s="3">
        <f t="shared" si="11"/>
        <v>0.121579729962163</v>
      </c>
      <c r="T72" s="3">
        <f t="shared" si="11"/>
        <v>0.119576879587938</v>
      </c>
      <c r="U72" s="3">
        <f t="shared" si="11"/>
        <v>0.117574029213713</v>
      </c>
      <c r="V72" s="3">
        <f t="shared" si="11"/>
        <v>0.115130295861915</v>
      </c>
      <c r="W72" s="3">
        <f t="shared" si="11"/>
        <v>0.112686562510118</v>
      </c>
      <c r="X72" s="3">
        <f t="shared" si="11"/>
        <v>0.11024282915832</v>
      </c>
      <c r="Y72" s="3">
        <f t="shared" si="11"/>
        <v>0.107799095806523</v>
      </c>
      <c r="Z72" s="3">
        <f t="shared" si="11"/>
        <v>0.105355362454725</v>
      </c>
      <c r="AA72" s="3">
        <f t="shared" si="11"/>
        <v>0.10350647568821</v>
      </c>
      <c r="AB72" s="3">
        <f t="shared" si="11"/>
        <v>0.101657588921695</v>
      </c>
      <c r="AC72" s="3">
        <f t="shared" si="11"/>
        <v>0.0998087021551801</v>
      </c>
      <c r="AD72" s="3">
        <f t="shared" si="11"/>
        <v>0.097959815388665</v>
      </c>
      <c r="AE72" s="3">
        <f t="shared" si="11"/>
        <v>0.0961109286221498</v>
      </c>
      <c r="AF72" s="3">
        <f t="shared" si="11"/>
        <v>0.0881469988846681</v>
      </c>
      <c r="AG72" s="3">
        <f t="shared" si="11"/>
        <v>0.0801830691471863</v>
      </c>
      <c r="AH72" s="3">
        <f t="shared" si="8"/>
        <v>0.0722191394097046</v>
      </c>
      <c r="AI72" s="3">
        <f t="shared" si="8"/>
        <v>0.0642552096722228</v>
      </c>
      <c r="AJ72" s="3">
        <f t="shared" si="8"/>
        <v>0.0562912799347411</v>
      </c>
    </row>
    <row r="73" spans="1:36">
      <c r="A73" t="str">
        <f>"semis_archetype_"&amp;TEXT(ROUND(Table269[[#This Row],[2016]],3),"0.000")</f>
        <v>semis_archetype_0.160</v>
      </c>
      <c r="B73" s="3">
        <f t="shared" si="13"/>
        <v>0.16</v>
      </c>
      <c r="C73" s="3">
        <f t="shared" si="12"/>
        <v>0.16</v>
      </c>
      <c r="D73" s="3">
        <f t="shared" si="12"/>
        <v>0.16</v>
      </c>
      <c r="E73" s="3">
        <f t="shared" si="12"/>
        <v>0.157025751106716</v>
      </c>
      <c r="F73" s="3">
        <f t="shared" si="12"/>
        <v>0.154051502213433</v>
      </c>
      <c r="G73" s="3">
        <f t="shared" si="12"/>
        <v>0.151077253320149</v>
      </c>
      <c r="H73" s="3">
        <f t="shared" si="12"/>
        <v>0.148103004426865</v>
      </c>
      <c r="I73" s="3">
        <f t="shared" si="12"/>
        <v>0.145128755533581</v>
      </c>
      <c r="J73" s="3">
        <f t="shared" si="12"/>
        <v>0.142154506640297</v>
      </c>
      <c r="K73" s="3">
        <f t="shared" si="12"/>
        <v>0.139180257747013</v>
      </c>
      <c r="L73" s="3">
        <f t="shared" si="12"/>
        <v>0.136206008853729</v>
      </c>
      <c r="M73" s="3">
        <f t="shared" si="12"/>
        <v>0.133231759960446</v>
      </c>
      <c r="N73" s="3">
        <f t="shared" si="12"/>
        <v>0.130257511067162</v>
      </c>
      <c r="O73" s="3">
        <f t="shared" si="12"/>
        <v>0.127283262173878</v>
      </c>
      <c r="P73" s="3">
        <f t="shared" si="12"/>
        <v>0.124309013280594</v>
      </c>
      <c r="Q73" s="3">
        <f t="shared" si="12"/>
        <v>0.122398282948488</v>
      </c>
      <c r="R73" s="3">
        <f t="shared" si="12"/>
        <v>0.120487552616383</v>
      </c>
      <c r="S73" s="3">
        <f t="shared" si="11"/>
        <v>0.118576822284277</v>
      </c>
      <c r="T73" s="3">
        <f t="shared" si="11"/>
        <v>0.116666091952171</v>
      </c>
      <c r="U73" s="3">
        <f t="shared" si="11"/>
        <v>0.114755361620065</v>
      </c>
      <c r="V73" s="3">
        <f t="shared" si="11"/>
        <v>0.112424026489419</v>
      </c>
      <c r="W73" s="3">
        <f t="shared" si="11"/>
        <v>0.110092691358773</v>
      </c>
      <c r="X73" s="3">
        <f t="shared" si="11"/>
        <v>0.107761356228127</v>
      </c>
      <c r="Y73" s="3">
        <f t="shared" si="11"/>
        <v>0.105430021097481</v>
      </c>
      <c r="Z73" s="3">
        <f t="shared" si="11"/>
        <v>0.103098685966835</v>
      </c>
      <c r="AA73" s="3">
        <f t="shared" si="11"/>
        <v>0.101334837767852</v>
      </c>
      <c r="AB73" s="3">
        <f t="shared" si="11"/>
        <v>0.0995709895688686</v>
      </c>
      <c r="AC73" s="3">
        <f t="shared" si="11"/>
        <v>0.0978071413698854</v>
      </c>
      <c r="AD73" s="3">
        <f t="shared" si="11"/>
        <v>0.0960432931709022</v>
      </c>
      <c r="AE73" s="3">
        <f t="shared" si="11"/>
        <v>0.094279444971919</v>
      </c>
      <c r="AF73" s="3">
        <f t="shared" si="11"/>
        <v>0.0866818119644834</v>
      </c>
      <c r="AG73" s="3">
        <f t="shared" si="11"/>
        <v>0.0790841789570478</v>
      </c>
      <c r="AH73" s="3">
        <f t="shared" si="8"/>
        <v>0.0714865459496122</v>
      </c>
      <c r="AI73" s="3">
        <f t="shared" si="8"/>
        <v>0.0638889129421766</v>
      </c>
      <c r="AJ73" s="3">
        <f t="shared" si="8"/>
        <v>0.0562912799347411</v>
      </c>
    </row>
    <row r="74" spans="1:36">
      <c r="A74" t="str">
        <f>"semis_archetype_"&amp;TEXT(ROUND(Table269[[#This Row],[2016]],3),"0.000")</f>
        <v>semis_archetype_0.155</v>
      </c>
      <c r="B74" s="3">
        <f t="shared" si="13"/>
        <v>0.155</v>
      </c>
      <c r="C74" s="3">
        <f t="shared" si="12"/>
        <v>0.155</v>
      </c>
      <c r="D74" s="3">
        <f t="shared" si="12"/>
        <v>0.155</v>
      </c>
      <c r="E74" s="3">
        <f t="shared" si="12"/>
        <v>0.152169145456363</v>
      </c>
      <c r="F74" s="3">
        <f t="shared" si="12"/>
        <v>0.149338290912725</v>
      </c>
      <c r="G74" s="3">
        <f t="shared" si="12"/>
        <v>0.146507436369088</v>
      </c>
      <c r="H74" s="3">
        <f t="shared" si="12"/>
        <v>0.14367658182545</v>
      </c>
      <c r="I74" s="3">
        <f t="shared" si="12"/>
        <v>0.140845727281813</v>
      </c>
      <c r="J74" s="3">
        <f t="shared" si="12"/>
        <v>0.138014872738176</v>
      </c>
      <c r="K74" s="3">
        <f t="shared" si="12"/>
        <v>0.135184018194538</v>
      </c>
      <c r="L74" s="3">
        <f t="shared" si="12"/>
        <v>0.132353163650901</v>
      </c>
      <c r="M74" s="3">
        <f t="shared" si="12"/>
        <v>0.129522309107263</v>
      </c>
      <c r="N74" s="3">
        <f t="shared" si="12"/>
        <v>0.126691454563626</v>
      </c>
      <c r="O74" s="3">
        <f t="shared" si="12"/>
        <v>0.123860600019988</v>
      </c>
      <c r="P74" s="3">
        <f t="shared" si="12"/>
        <v>0.121029745476351</v>
      </c>
      <c r="Q74" s="3">
        <f t="shared" si="12"/>
        <v>0.119211135186364</v>
      </c>
      <c r="R74" s="3">
        <f t="shared" si="12"/>
        <v>0.117392524896378</v>
      </c>
      <c r="S74" s="3">
        <f t="shared" si="11"/>
        <v>0.115573914606391</v>
      </c>
      <c r="T74" s="3">
        <f t="shared" si="11"/>
        <v>0.113755304316404</v>
      </c>
      <c r="U74" s="3">
        <f t="shared" si="11"/>
        <v>0.111936694026417</v>
      </c>
      <c r="V74" s="3">
        <f t="shared" si="11"/>
        <v>0.109717757116923</v>
      </c>
      <c r="W74" s="3">
        <f t="shared" si="11"/>
        <v>0.107498820207428</v>
      </c>
      <c r="X74" s="3">
        <f t="shared" si="11"/>
        <v>0.105279883297934</v>
      </c>
      <c r="Y74" s="3">
        <f t="shared" si="11"/>
        <v>0.103060946388439</v>
      </c>
      <c r="Z74" s="3">
        <f t="shared" si="11"/>
        <v>0.100842009478945</v>
      </c>
      <c r="AA74" s="3">
        <f t="shared" si="11"/>
        <v>0.0991631998474934</v>
      </c>
      <c r="AB74" s="3">
        <f t="shared" si="11"/>
        <v>0.0974843902160421</v>
      </c>
      <c r="AC74" s="3">
        <f t="shared" si="11"/>
        <v>0.0958055805845908</v>
      </c>
      <c r="AD74" s="3">
        <f t="shared" si="11"/>
        <v>0.0941267709531395</v>
      </c>
      <c r="AE74" s="3">
        <f t="shared" si="11"/>
        <v>0.0924479613216881</v>
      </c>
      <c r="AF74" s="3">
        <f t="shared" si="11"/>
        <v>0.0852166250442987</v>
      </c>
      <c r="AG74" s="3">
        <f t="shared" si="11"/>
        <v>0.0779852887669093</v>
      </c>
      <c r="AH74" s="3">
        <f t="shared" si="8"/>
        <v>0.0707539524895199</v>
      </c>
      <c r="AI74" s="3">
        <f t="shared" si="8"/>
        <v>0.0635226162121305</v>
      </c>
      <c r="AJ74" s="3">
        <f t="shared" si="8"/>
        <v>0.0562912799347411</v>
      </c>
    </row>
    <row r="75" spans="1:36">
      <c r="A75" t="str">
        <f>"semis_archetype_"&amp;TEXT(ROUND(Table269[[#This Row],[2016]],3),"0.000")</f>
        <v>semis_archetype_0.150</v>
      </c>
      <c r="B75" s="3">
        <f t="shared" si="13"/>
        <v>0.15</v>
      </c>
      <c r="C75" s="3">
        <f t="shared" si="12"/>
        <v>0.15</v>
      </c>
      <c r="D75" s="3">
        <f t="shared" si="12"/>
        <v>0.15</v>
      </c>
      <c r="E75" s="3">
        <f t="shared" si="12"/>
        <v>0.147312539806009</v>
      </c>
      <c r="F75" s="3">
        <f t="shared" si="12"/>
        <v>0.144625079612018</v>
      </c>
      <c r="G75" s="3">
        <f t="shared" si="12"/>
        <v>0.141937619418027</v>
      </c>
      <c r="H75" s="3">
        <f t="shared" si="12"/>
        <v>0.139250159224036</v>
      </c>
      <c r="I75" s="3">
        <f t="shared" si="12"/>
        <v>0.136562699030045</v>
      </c>
      <c r="J75" s="3">
        <f t="shared" si="12"/>
        <v>0.133875238836054</v>
      </c>
      <c r="K75" s="3">
        <f t="shared" si="12"/>
        <v>0.131187778642063</v>
      </c>
      <c r="L75" s="3">
        <f t="shared" si="12"/>
        <v>0.128500318448072</v>
      </c>
      <c r="M75" s="3">
        <f t="shared" si="12"/>
        <v>0.125812858254081</v>
      </c>
      <c r="N75" s="3">
        <f t="shared" si="12"/>
        <v>0.12312539806009</v>
      </c>
      <c r="O75" s="3">
        <f t="shared" si="12"/>
        <v>0.120437937866099</v>
      </c>
      <c r="P75" s="3">
        <f t="shared" si="12"/>
        <v>0.117750477672108</v>
      </c>
      <c r="Q75" s="3">
        <f t="shared" si="12"/>
        <v>0.11602398742424</v>
      </c>
      <c r="R75" s="3">
        <f t="shared" si="12"/>
        <v>0.114297497176373</v>
      </c>
      <c r="S75" s="3">
        <f t="shared" si="11"/>
        <v>0.112571006928505</v>
      </c>
      <c r="T75" s="3">
        <f t="shared" si="11"/>
        <v>0.110844516680637</v>
      </c>
      <c r="U75" s="3">
        <f t="shared" si="11"/>
        <v>0.10911802643277</v>
      </c>
      <c r="V75" s="3">
        <f t="shared" si="11"/>
        <v>0.107011487744427</v>
      </c>
      <c r="W75" s="3">
        <f t="shared" si="11"/>
        <v>0.104904949056084</v>
      </c>
      <c r="X75" s="3">
        <f t="shared" si="11"/>
        <v>0.102798410367741</v>
      </c>
      <c r="Y75" s="3">
        <f t="shared" si="11"/>
        <v>0.100691871679397</v>
      </c>
      <c r="Z75" s="3">
        <f t="shared" si="11"/>
        <v>0.0985853329910544</v>
      </c>
      <c r="AA75" s="3">
        <f t="shared" si="11"/>
        <v>0.096991561927135</v>
      </c>
      <c r="AB75" s="3">
        <f t="shared" si="11"/>
        <v>0.0953977908632156</v>
      </c>
      <c r="AC75" s="3">
        <f t="shared" si="11"/>
        <v>0.0938040197992961</v>
      </c>
      <c r="AD75" s="3">
        <f t="shared" si="11"/>
        <v>0.0922102487353767</v>
      </c>
      <c r="AE75" s="3">
        <f t="shared" si="11"/>
        <v>0.0906164776714573</v>
      </c>
      <c r="AF75" s="3">
        <f t="shared" si="11"/>
        <v>0.083751438124114</v>
      </c>
      <c r="AG75" s="3">
        <f t="shared" si="11"/>
        <v>0.0768863985767708</v>
      </c>
      <c r="AH75" s="3">
        <f t="shared" si="8"/>
        <v>0.0700213590294275</v>
      </c>
      <c r="AI75" s="3">
        <f t="shared" si="8"/>
        <v>0.0631563194820843</v>
      </c>
      <c r="AJ75" s="3">
        <f t="shared" si="8"/>
        <v>0.0562912799347411</v>
      </c>
    </row>
    <row r="76" spans="1:36">
      <c r="A76" t="str">
        <f>"semis_archetype_"&amp;TEXT(ROUND(Table269[[#This Row],[2016]],3),"0.000")</f>
        <v>semis_archetype_0.145</v>
      </c>
      <c r="B76" s="3">
        <f t="shared" si="13"/>
        <v>0.145</v>
      </c>
      <c r="C76" s="3">
        <f t="shared" si="12"/>
        <v>0.145</v>
      </c>
      <c r="D76" s="3">
        <f t="shared" si="12"/>
        <v>0.145</v>
      </c>
      <c r="E76" s="3">
        <f t="shared" si="12"/>
        <v>0.142455934155655</v>
      </c>
      <c r="F76" s="3">
        <f t="shared" si="12"/>
        <v>0.139911868311311</v>
      </c>
      <c r="G76" s="3">
        <f t="shared" si="12"/>
        <v>0.137367802466966</v>
      </c>
      <c r="H76" s="3">
        <f t="shared" si="12"/>
        <v>0.134823736622622</v>
      </c>
      <c r="I76" s="3">
        <f t="shared" si="12"/>
        <v>0.132279670778277</v>
      </c>
      <c r="J76" s="3">
        <f t="shared" si="12"/>
        <v>0.129735604933932</v>
      </c>
      <c r="K76" s="3">
        <f t="shared" si="12"/>
        <v>0.127191539089588</v>
      </c>
      <c r="L76" s="3">
        <f t="shared" si="12"/>
        <v>0.124647473245243</v>
      </c>
      <c r="M76" s="3">
        <f t="shared" si="12"/>
        <v>0.122103407400899</v>
      </c>
      <c r="N76" s="3">
        <f t="shared" si="12"/>
        <v>0.119559341556554</v>
      </c>
      <c r="O76" s="3">
        <f t="shared" si="12"/>
        <v>0.117015275712209</v>
      </c>
      <c r="P76" s="3">
        <f t="shared" si="12"/>
        <v>0.114471209867865</v>
      </c>
      <c r="Q76" s="3">
        <f t="shared" si="12"/>
        <v>0.112836839662116</v>
      </c>
      <c r="R76" s="3">
        <f t="shared" ref="R76:AG91" si="14">(($B76-$AJ$2)*((R$2-$AJ$2)/($B$2-$AJ$2)))+$AJ$2</f>
        <v>0.111202469456368</v>
      </c>
      <c r="S76" s="3">
        <f t="shared" si="14"/>
        <v>0.109568099250619</v>
      </c>
      <c r="T76" s="3">
        <f t="shared" si="14"/>
        <v>0.107933729044871</v>
      </c>
      <c r="U76" s="3">
        <f t="shared" si="14"/>
        <v>0.106299358839122</v>
      </c>
      <c r="V76" s="3">
        <f t="shared" si="14"/>
        <v>0.104305218371931</v>
      </c>
      <c r="W76" s="3">
        <f t="shared" si="14"/>
        <v>0.102311077904739</v>
      </c>
      <c r="X76" s="3">
        <f t="shared" si="14"/>
        <v>0.100316937437547</v>
      </c>
      <c r="Y76" s="3">
        <f t="shared" si="14"/>
        <v>0.0983227969703557</v>
      </c>
      <c r="Z76" s="3">
        <f t="shared" si="14"/>
        <v>0.0963286565031641</v>
      </c>
      <c r="AA76" s="3">
        <f t="shared" si="14"/>
        <v>0.0948199240067766</v>
      </c>
      <c r="AB76" s="3">
        <f t="shared" si="14"/>
        <v>0.093311191510389</v>
      </c>
      <c r="AC76" s="3">
        <f t="shared" si="14"/>
        <v>0.0918024590140015</v>
      </c>
      <c r="AD76" s="3">
        <f t="shared" si="14"/>
        <v>0.090293726517614</v>
      </c>
      <c r="AE76" s="3">
        <f t="shared" si="14"/>
        <v>0.0887849940212264</v>
      </c>
      <c r="AF76" s="3">
        <f t="shared" si="14"/>
        <v>0.0822862512039294</v>
      </c>
      <c r="AG76" s="3">
        <f t="shared" si="14"/>
        <v>0.0757875083866323</v>
      </c>
      <c r="AH76" s="3">
        <f t="shared" si="8"/>
        <v>0.0692887655693352</v>
      </c>
      <c r="AI76" s="3">
        <f t="shared" si="8"/>
        <v>0.0627900227520381</v>
      </c>
      <c r="AJ76" s="3">
        <f t="shared" si="8"/>
        <v>0.0562912799347411</v>
      </c>
    </row>
    <row r="77" spans="1:36">
      <c r="A77" t="str">
        <f>"semis_archetype_"&amp;TEXT(ROUND(Table269[[#This Row],[2016]],3),"0.000")</f>
        <v>semis_archetype_0.140</v>
      </c>
      <c r="B77" s="3">
        <f t="shared" si="13"/>
        <v>0.14</v>
      </c>
      <c r="C77" s="3">
        <f t="shared" ref="C77:R92" si="15">(($B77-$AJ$2)*((C$2-$AJ$2)/($B$2-$AJ$2)))+$AJ$2</f>
        <v>0.14</v>
      </c>
      <c r="D77" s="3">
        <f t="shared" si="15"/>
        <v>0.14</v>
      </c>
      <c r="E77" s="3">
        <f t="shared" si="15"/>
        <v>0.137599328505302</v>
      </c>
      <c r="F77" s="3">
        <f t="shared" si="15"/>
        <v>0.135198657010604</v>
      </c>
      <c r="G77" s="3">
        <f t="shared" si="15"/>
        <v>0.132797985515905</v>
      </c>
      <c r="H77" s="3">
        <f t="shared" si="15"/>
        <v>0.130397314021207</v>
      </c>
      <c r="I77" s="3">
        <f t="shared" si="15"/>
        <v>0.127996642526509</v>
      </c>
      <c r="J77" s="3">
        <f t="shared" si="15"/>
        <v>0.125595971031811</v>
      </c>
      <c r="K77" s="3">
        <f t="shared" si="15"/>
        <v>0.123195299537113</v>
      </c>
      <c r="L77" s="3">
        <f t="shared" si="15"/>
        <v>0.120794628042414</v>
      </c>
      <c r="M77" s="3">
        <f t="shared" si="15"/>
        <v>0.118393956547716</v>
      </c>
      <c r="N77" s="3">
        <f t="shared" si="15"/>
        <v>0.115993285053018</v>
      </c>
      <c r="O77" s="3">
        <f t="shared" si="15"/>
        <v>0.11359261355832</v>
      </c>
      <c r="P77" s="3">
        <f t="shared" si="15"/>
        <v>0.111191942063622</v>
      </c>
      <c r="Q77" s="3">
        <f t="shared" si="15"/>
        <v>0.109649691899992</v>
      </c>
      <c r="R77" s="3">
        <f t="shared" si="15"/>
        <v>0.108107441736363</v>
      </c>
      <c r="S77" s="3">
        <f t="shared" si="14"/>
        <v>0.106565191572733</v>
      </c>
      <c r="T77" s="3">
        <f t="shared" si="14"/>
        <v>0.105022941409104</v>
      </c>
      <c r="U77" s="3">
        <f t="shared" si="14"/>
        <v>0.103480691245475</v>
      </c>
      <c r="V77" s="3">
        <f t="shared" si="14"/>
        <v>0.101598948999434</v>
      </c>
      <c r="W77" s="3">
        <f t="shared" si="14"/>
        <v>0.0997172067533942</v>
      </c>
      <c r="X77" s="3">
        <f t="shared" si="14"/>
        <v>0.0978354645073541</v>
      </c>
      <c r="Y77" s="3">
        <f t="shared" si="14"/>
        <v>0.0959537222613139</v>
      </c>
      <c r="Z77" s="3">
        <f t="shared" si="14"/>
        <v>0.0940719800152738</v>
      </c>
      <c r="AA77" s="3">
        <f t="shared" si="14"/>
        <v>0.0926482860864181</v>
      </c>
      <c r="AB77" s="3">
        <f t="shared" si="14"/>
        <v>0.0912245921575625</v>
      </c>
      <c r="AC77" s="3">
        <f t="shared" si="14"/>
        <v>0.0898008982287069</v>
      </c>
      <c r="AD77" s="3">
        <f t="shared" si="14"/>
        <v>0.0883772042998512</v>
      </c>
      <c r="AE77" s="3">
        <f t="shared" si="14"/>
        <v>0.0869535103709956</v>
      </c>
      <c r="AF77" s="3">
        <f t="shared" si="14"/>
        <v>0.0808210642837447</v>
      </c>
      <c r="AG77" s="3">
        <f t="shared" si="14"/>
        <v>0.0746886181964938</v>
      </c>
      <c r="AH77" s="3">
        <f t="shared" si="8"/>
        <v>0.0685561721092429</v>
      </c>
      <c r="AI77" s="3">
        <f t="shared" si="8"/>
        <v>0.062423726021992</v>
      </c>
      <c r="AJ77" s="3">
        <f t="shared" si="8"/>
        <v>0.0562912799347411</v>
      </c>
    </row>
    <row r="78" spans="1:36">
      <c r="A78" t="str">
        <f>"semis_archetype_"&amp;TEXT(ROUND(Table269[[#This Row],[2016]],3),"0.000")</f>
        <v>semis_archetype_0.135</v>
      </c>
      <c r="B78" s="3">
        <f t="shared" si="13"/>
        <v>0.135</v>
      </c>
      <c r="C78" s="3">
        <f t="shared" si="15"/>
        <v>0.135</v>
      </c>
      <c r="D78" s="3">
        <f t="shared" si="15"/>
        <v>0.135</v>
      </c>
      <c r="E78" s="3">
        <f t="shared" si="15"/>
        <v>0.132742722854948</v>
      </c>
      <c r="F78" s="3">
        <f t="shared" si="15"/>
        <v>0.130485445709897</v>
      </c>
      <c r="G78" s="3">
        <f t="shared" si="15"/>
        <v>0.128228168564845</v>
      </c>
      <c r="H78" s="3">
        <f t="shared" si="15"/>
        <v>0.125970891419793</v>
      </c>
      <c r="I78" s="3">
        <f t="shared" si="15"/>
        <v>0.123713614274741</v>
      </c>
      <c r="J78" s="3">
        <f t="shared" si="15"/>
        <v>0.121456337129689</v>
      </c>
      <c r="K78" s="3">
        <f t="shared" si="15"/>
        <v>0.119199059984638</v>
      </c>
      <c r="L78" s="3">
        <f t="shared" si="15"/>
        <v>0.116941782839586</v>
      </c>
      <c r="M78" s="3">
        <f t="shared" si="15"/>
        <v>0.114684505694534</v>
      </c>
      <c r="N78" s="3">
        <f t="shared" si="15"/>
        <v>0.112427228549482</v>
      </c>
      <c r="O78" s="3">
        <f t="shared" si="15"/>
        <v>0.11016995140443</v>
      </c>
      <c r="P78" s="3">
        <f t="shared" si="15"/>
        <v>0.107912674259379</v>
      </c>
      <c r="Q78" s="3">
        <f t="shared" si="15"/>
        <v>0.106462544137868</v>
      </c>
      <c r="R78" s="3">
        <f t="shared" si="15"/>
        <v>0.105012414016358</v>
      </c>
      <c r="S78" s="3">
        <f t="shared" si="14"/>
        <v>0.103562283894848</v>
      </c>
      <c r="T78" s="3">
        <f t="shared" si="14"/>
        <v>0.102112153773337</v>
      </c>
      <c r="U78" s="3">
        <f t="shared" si="14"/>
        <v>0.100662023651827</v>
      </c>
      <c r="V78" s="3">
        <f t="shared" si="14"/>
        <v>0.0988926796269382</v>
      </c>
      <c r="W78" s="3">
        <f t="shared" si="14"/>
        <v>0.0971233356020495</v>
      </c>
      <c r="X78" s="3">
        <f t="shared" si="14"/>
        <v>0.0953539915771608</v>
      </c>
      <c r="Y78" s="3">
        <f t="shared" si="14"/>
        <v>0.0935846475522721</v>
      </c>
      <c r="Z78" s="3">
        <f t="shared" si="14"/>
        <v>0.0918153035273834</v>
      </c>
      <c r="AA78" s="3">
        <f t="shared" si="14"/>
        <v>0.0904766481660597</v>
      </c>
      <c r="AB78" s="3">
        <f t="shared" si="14"/>
        <v>0.089137992804736</v>
      </c>
      <c r="AC78" s="3">
        <f t="shared" si="14"/>
        <v>0.0877993374434122</v>
      </c>
      <c r="AD78" s="3">
        <f t="shared" si="14"/>
        <v>0.0864606820820885</v>
      </c>
      <c r="AE78" s="3">
        <f t="shared" si="14"/>
        <v>0.0851220267207647</v>
      </c>
      <c r="AF78" s="3">
        <f t="shared" si="14"/>
        <v>0.07935587736356</v>
      </c>
      <c r="AG78" s="3">
        <f t="shared" si="14"/>
        <v>0.0735897280063553</v>
      </c>
      <c r="AH78" s="3">
        <f t="shared" si="8"/>
        <v>0.0678235786491505</v>
      </c>
      <c r="AI78" s="3">
        <f t="shared" si="8"/>
        <v>0.0620574292919458</v>
      </c>
      <c r="AJ78" s="3">
        <f t="shared" si="8"/>
        <v>0.0562912799347411</v>
      </c>
    </row>
    <row r="79" spans="1:36">
      <c r="A79" t="str">
        <f>"semis_archetype_"&amp;TEXT(ROUND(Table269[[#This Row],[2016]],3),"0.000")</f>
        <v>semis_archetype_0.130</v>
      </c>
      <c r="B79" s="3">
        <f t="shared" si="13"/>
        <v>0.13</v>
      </c>
      <c r="C79" s="3">
        <f t="shared" si="15"/>
        <v>0.13</v>
      </c>
      <c r="D79" s="3">
        <f t="shared" si="15"/>
        <v>0.13</v>
      </c>
      <c r="E79" s="3">
        <f t="shared" si="15"/>
        <v>0.127886117204595</v>
      </c>
      <c r="F79" s="3">
        <f t="shared" si="15"/>
        <v>0.125772234409189</v>
      </c>
      <c r="G79" s="3">
        <f t="shared" si="15"/>
        <v>0.123658351613784</v>
      </c>
      <c r="H79" s="3">
        <f t="shared" si="15"/>
        <v>0.121544468818378</v>
      </c>
      <c r="I79" s="3">
        <f t="shared" si="15"/>
        <v>0.119430586022973</v>
      </c>
      <c r="J79" s="3">
        <f t="shared" si="15"/>
        <v>0.117316703227568</v>
      </c>
      <c r="K79" s="3">
        <f t="shared" si="15"/>
        <v>0.115202820432162</v>
      </c>
      <c r="L79" s="3">
        <f t="shared" si="15"/>
        <v>0.113088937636757</v>
      </c>
      <c r="M79" s="3">
        <f t="shared" si="15"/>
        <v>0.110975054841352</v>
      </c>
      <c r="N79" s="3">
        <f t="shared" si="15"/>
        <v>0.108861172045946</v>
      </c>
      <c r="O79" s="3">
        <f t="shared" si="15"/>
        <v>0.106747289250541</v>
      </c>
      <c r="P79" s="3">
        <f t="shared" si="15"/>
        <v>0.104633406455136</v>
      </c>
      <c r="Q79" s="3">
        <f t="shared" si="15"/>
        <v>0.103275396375744</v>
      </c>
      <c r="R79" s="3">
        <f t="shared" si="15"/>
        <v>0.101917386296353</v>
      </c>
      <c r="S79" s="3">
        <f t="shared" si="14"/>
        <v>0.100559376216962</v>
      </c>
      <c r="T79" s="3">
        <f t="shared" si="14"/>
        <v>0.0992013661375705</v>
      </c>
      <c r="U79" s="3">
        <f t="shared" si="14"/>
        <v>0.0978433560581792</v>
      </c>
      <c r="V79" s="3">
        <f t="shared" si="14"/>
        <v>0.096186410254442</v>
      </c>
      <c r="W79" s="3">
        <f t="shared" si="14"/>
        <v>0.0945294644507048</v>
      </c>
      <c r="X79" s="3">
        <f t="shared" si="14"/>
        <v>0.0928725186469675</v>
      </c>
      <c r="Y79" s="3">
        <f t="shared" si="14"/>
        <v>0.0912155728432303</v>
      </c>
      <c r="Z79" s="3">
        <f t="shared" si="14"/>
        <v>0.0895586270394931</v>
      </c>
      <c r="AA79" s="3">
        <f t="shared" si="14"/>
        <v>0.0883050102457013</v>
      </c>
      <c r="AB79" s="3">
        <f t="shared" si="14"/>
        <v>0.0870513934519094</v>
      </c>
      <c r="AC79" s="3">
        <f t="shared" si="14"/>
        <v>0.0857977766581176</v>
      </c>
      <c r="AD79" s="3">
        <f t="shared" si="14"/>
        <v>0.0845441598643257</v>
      </c>
      <c r="AE79" s="3">
        <f t="shared" si="14"/>
        <v>0.0832905430705339</v>
      </c>
      <c r="AF79" s="3">
        <f t="shared" si="14"/>
        <v>0.0778906904433753</v>
      </c>
      <c r="AG79" s="3">
        <f t="shared" si="14"/>
        <v>0.0724908378162168</v>
      </c>
      <c r="AH79" s="3">
        <f t="shared" si="8"/>
        <v>0.0670909851890582</v>
      </c>
      <c r="AI79" s="3">
        <f t="shared" si="8"/>
        <v>0.0616911325618996</v>
      </c>
      <c r="AJ79" s="3">
        <f t="shared" si="8"/>
        <v>0.0562912799347411</v>
      </c>
    </row>
    <row r="80" spans="1:36">
      <c r="A80" t="str">
        <f>"semis_archetype_"&amp;TEXT(ROUND(Table269[[#This Row],[2016]],3),"0.000")</f>
        <v>semis_archetype_0.125</v>
      </c>
      <c r="B80" s="3">
        <f t="shared" si="13"/>
        <v>0.125</v>
      </c>
      <c r="C80" s="3">
        <f t="shared" si="15"/>
        <v>0.125</v>
      </c>
      <c r="D80" s="3">
        <f t="shared" si="15"/>
        <v>0.125</v>
      </c>
      <c r="E80" s="3">
        <f t="shared" si="15"/>
        <v>0.123029511554241</v>
      </c>
      <c r="F80" s="3">
        <f t="shared" si="15"/>
        <v>0.121059023108482</v>
      </c>
      <c r="G80" s="3">
        <f t="shared" si="15"/>
        <v>0.119088534662723</v>
      </c>
      <c r="H80" s="3">
        <f t="shared" si="15"/>
        <v>0.117118046216964</v>
      </c>
      <c r="I80" s="3">
        <f t="shared" si="15"/>
        <v>0.115147557771205</v>
      </c>
      <c r="J80" s="3">
        <f t="shared" si="15"/>
        <v>0.113177069325446</v>
      </c>
      <c r="K80" s="3">
        <f t="shared" si="15"/>
        <v>0.111206580879687</v>
      </c>
      <c r="L80" s="3">
        <f t="shared" si="15"/>
        <v>0.109236092433928</v>
      </c>
      <c r="M80" s="3">
        <f t="shared" si="15"/>
        <v>0.107265603988169</v>
      </c>
      <c r="N80" s="3">
        <f t="shared" si="15"/>
        <v>0.10529511554241</v>
      </c>
      <c r="O80" s="3">
        <f t="shared" si="15"/>
        <v>0.103324627096651</v>
      </c>
      <c r="P80" s="3">
        <f t="shared" si="15"/>
        <v>0.101354138650892</v>
      </c>
      <c r="Q80" s="3">
        <f t="shared" si="15"/>
        <v>0.10008824861362</v>
      </c>
      <c r="R80" s="3">
        <f t="shared" si="15"/>
        <v>0.0988223585763481</v>
      </c>
      <c r="S80" s="3">
        <f t="shared" si="14"/>
        <v>0.0975564685390759</v>
      </c>
      <c r="T80" s="3">
        <f t="shared" si="14"/>
        <v>0.0962905785018038</v>
      </c>
      <c r="U80" s="3">
        <f t="shared" si="14"/>
        <v>0.0950246884645316</v>
      </c>
      <c r="V80" s="3">
        <f t="shared" si="14"/>
        <v>0.0934801408819458</v>
      </c>
      <c r="W80" s="3">
        <f t="shared" si="14"/>
        <v>0.09193559329936</v>
      </c>
      <c r="X80" s="3">
        <f t="shared" si="14"/>
        <v>0.0903910457167743</v>
      </c>
      <c r="Y80" s="3">
        <f t="shared" si="14"/>
        <v>0.0888464981341885</v>
      </c>
      <c r="Z80" s="3">
        <f t="shared" si="14"/>
        <v>0.0873019505516028</v>
      </c>
      <c r="AA80" s="3">
        <f t="shared" si="14"/>
        <v>0.0861333723253428</v>
      </c>
      <c r="AB80" s="3">
        <f t="shared" si="14"/>
        <v>0.0849647940990829</v>
      </c>
      <c r="AC80" s="3">
        <f t="shared" si="14"/>
        <v>0.0837962158728229</v>
      </c>
      <c r="AD80" s="3">
        <f t="shared" si="14"/>
        <v>0.082627637646563</v>
      </c>
      <c r="AE80" s="3">
        <f t="shared" si="14"/>
        <v>0.081459059420303</v>
      </c>
      <c r="AF80" s="3">
        <f t="shared" si="14"/>
        <v>0.0764255035231906</v>
      </c>
      <c r="AG80" s="3">
        <f t="shared" si="14"/>
        <v>0.0713919476260783</v>
      </c>
      <c r="AH80" s="3">
        <f t="shared" si="8"/>
        <v>0.0663583917289658</v>
      </c>
      <c r="AI80" s="3">
        <f t="shared" si="8"/>
        <v>0.0613248358318535</v>
      </c>
      <c r="AJ80" s="3">
        <f t="shared" si="8"/>
        <v>0.0562912799347411</v>
      </c>
    </row>
    <row r="81" spans="1:36">
      <c r="A81" t="str">
        <f>"semis_archetype_"&amp;TEXT(ROUND(Table269[[#This Row],[2016]],3),"0.000")</f>
        <v>semis_archetype_0.120</v>
      </c>
      <c r="B81" s="3">
        <f t="shared" si="13"/>
        <v>0.12</v>
      </c>
      <c r="C81" s="3">
        <f t="shared" si="15"/>
        <v>0.12</v>
      </c>
      <c r="D81" s="3">
        <f t="shared" si="15"/>
        <v>0.12</v>
      </c>
      <c r="E81" s="3">
        <f t="shared" si="15"/>
        <v>0.118172905903887</v>
      </c>
      <c r="F81" s="3">
        <f t="shared" si="15"/>
        <v>0.116345811807775</v>
      </c>
      <c r="G81" s="3">
        <f t="shared" si="15"/>
        <v>0.114518717711662</v>
      </c>
      <c r="H81" s="3">
        <f t="shared" si="15"/>
        <v>0.11269162361555</v>
      </c>
      <c r="I81" s="3">
        <f t="shared" si="15"/>
        <v>0.110864529519437</v>
      </c>
      <c r="J81" s="3">
        <f t="shared" si="15"/>
        <v>0.109037435423325</v>
      </c>
      <c r="K81" s="3">
        <f t="shared" si="15"/>
        <v>0.107210341327212</v>
      </c>
      <c r="L81" s="3">
        <f t="shared" si="15"/>
        <v>0.105383247231099</v>
      </c>
      <c r="M81" s="3">
        <f t="shared" si="15"/>
        <v>0.103556153134987</v>
      </c>
      <c r="N81" s="3">
        <f t="shared" si="15"/>
        <v>0.101729059038874</v>
      </c>
      <c r="O81" s="3">
        <f t="shared" si="15"/>
        <v>0.0999019649427618</v>
      </c>
      <c r="P81" s="3">
        <f t="shared" si="15"/>
        <v>0.0980748708466493</v>
      </c>
      <c r="Q81" s="3">
        <f t="shared" si="15"/>
        <v>0.0969011008514962</v>
      </c>
      <c r="R81" s="3">
        <f t="shared" si="15"/>
        <v>0.0957273308563431</v>
      </c>
      <c r="S81" s="3">
        <f t="shared" si="14"/>
        <v>0.0945535608611901</v>
      </c>
      <c r="T81" s="3">
        <f t="shared" si="14"/>
        <v>0.093379790866037</v>
      </c>
      <c r="U81" s="3">
        <f t="shared" si="14"/>
        <v>0.0922060208708839</v>
      </c>
      <c r="V81" s="3">
        <f t="shared" si="14"/>
        <v>0.0907738715094496</v>
      </c>
      <c r="W81" s="3">
        <f t="shared" si="14"/>
        <v>0.0893417221480153</v>
      </c>
      <c r="X81" s="3">
        <f t="shared" si="14"/>
        <v>0.087909572786581</v>
      </c>
      <c r="Y81" s="3">
        <f t="shared" si="14"/>
        <v>0.0864774234251467</v>
      </c>
      <c r="Z81" s="3">
        <f t="shared" si="14"/>
        <v>0.0850452740637124</v>
      </c>
      <c r="AA81" s="3">
        <f t="shared" si="14"/>
        <v>0.0839617344049844</v>
      </c>
      <c r="AB81" s="3">
        <f t="shared" si="14"/>
        <v>0.0828781947462563</v>
      </c>
      <c r="AC81" s="3">
        <f t="shared" si="14"/>
        <v>0.0817946550875283</v>
      </c>
      <c r="AD81" s="3">
        <f t="shared" si="14"/>
        <v>0.0807111154288003</v>
      </c>
      <c r="AE81" s="3">
        <f t="shared" si="14"/>
        <v>0.0796275757700722</v>
      </c>
      <c r="AF81" s="3">
        <f t="shared" si="14"/>
        <v>0.074960316603006</v>
      </c>
      <c r="AG81" s="3">
        <f t="shared" si="14"/>
        <v>0.0702930574359397</v>
      </c>
      <c r="AH81" s="3">
        <f t="shared" si="8"/>
        <v>0.0656257982688735</v>
      </c>
      <c r="AI81" s="3">
        <f t="shared" si="8"/>
        <v>0.0609585391018073</v>
      </c>
      <c r="AJ81" s="3">
        <f t="shared" si="8"/>
        <v>0.0562912799347411</v>
      </c>
    </row>
    <row r="82" spans="1:36">
      <c r="A82" t="str">
        <f>"semis_archetype_"&amp;TEXT(ROUND(Table269[[#This Row],[2016]],3),"0.000")</f>
        <v>semis_archetype_0.115</v>
      </c>
      <c r="B82" s="3">
        <f t="shared" si="13"/>
        <v>0.115</v>
      </c>
      <c r="C82" s="3">
        <f t="shared" si="15"/>
        <v>0.115</v>
      </c>
      <c r="D82" s="3">
        <f t="shared" si="15"/>
        <v>0.115</v>
      </c>
      <c r="E82" s="3">
        <f t="shared" si="15"/>
        <v>0.113316300253534</v>
      </c>
      <c r="F82" s="3">
        <f t="shared" si="15"/>
        <v>0.111632600507068</v>
      </c>
      <c r="G82" s="3">
        <f t="shared" si="15"/>
        <v>0.109948900760602</v>
      </c>
      <c r="H82" s="3">
        <f t="shared" si="15"/>
        <v>0.108265201014135</v>
      </c>
      <c r="I82" s="3">
        <f t="shared" si="15"/>
        <v>0.106581501267669</v>
      </c>
      <c r="J82" s="3">
        <f t="shared" si="15"/>
        <v>0.104897801521203</v>
      </c>
      <c r="K82" s="3">
        <f t="shared" si="15"/>
        <v>0.103214101774737</v>
      </c>
      <c r="L82" s="3">
        <f t="shared" si="15"/>
        <v>0.101530402028271</v>
      </c>
      <c r="M82" s="3">
        <f t="shared" si="15"/>
        <v>0.0998467022818046</v>
      </c>
      <c r="N82" s="3">
        <f t="shared" si="15"/>
        <v>0.0981630025353384</v>
      </c>
      <c r="O82" s="3">
        <f t="shared" si="15"/>
        <v>0.0964793027888723</v>
      </c>
      <c r="P82" s="3">
        <f t="shared" si="15"/>
        <v>0.0947956030424062</v>
      </c>
      <c r="Q82" s="3">
        <f t="shared" si="15"/>
        <v>0.0937139530893722</v>
      </c>
      <c r="R82" s="3">
        <f t="shared" si="15"/>
        <v>0.0926323031363382</v>
      </c>
      <c r="S82" s="3">
        <f t="shared" si="14"/>
        <v>0.0915506531833043</v>
      </c>
      <c r="T82" s="3">
        <f t="shared" si="14"/>
        <v>0.0904690032302703</v>
      </c>
      <c r="U82" s="3">
        <f t="shared" si="14"/>
        <v>0.0893873532772363</v>
      </c>
      <c r="V82" s="3">
        <f t="shared" si="14"/>
        <v>0.0880676021369535</v>
      </c>
      <c r="W82" s="3">
        <f t="shared" si="14"/>
        <v>0.0867478509966706</v>
      </c>
      <c r="X82" s="3">
        <f t="shared" si="14"/>
        <v>0.0854280998563878</v>
      </c>
      <c r="Y82" s="3">
        <f t="shared" si="14"/>
        <v>0.0841083487161049</v>
      </c>
      <c r="Z82" s="3">
        <f t="shared" si="14"/>
        <v>0.0827885975758221</v>
      </c>
      <c r="AA82" s="3">
        <f t="shared" si="14"/>
        <v>0.081790096484626</v>
      </c>
      <c r="AB82" s="3">
        <f t="shared" si="14"/>
        <v>0.0807915953934298</v>
      </c>
      <c r="AC82" s="3">
        <f t="shared" si="14"/>
        <v>0.0797930943022337</v>
      </c>
      <c r="AD82" s="3">
        <f t="shared" si="14"/>
        <v>0.0787945932110375</v>
      </c>
      <c r="AE82" s="3">
        <f t="shared" si="14"/>
        <v>0.0777960921198414</v>
      </c>
      <c r="AF82" s="3">
        <f t="shared" si="14"/>
        <v>0.0734951296828213</v>
      </c>
      <c r="AG82" s="3">
        <f t="shared" si="14"/>
        <v>0.0691941672458012</v>
      </c>
      <c r="AH82" s="3">
        <f t="shared" si="8"/>
        <v>0.0648932048087812</v>
      </c>
      <c r="AI82" s="3">
        <f t="shared" ref="AI82:AJ82" si="16">(($B82-$AJ$2)*((AI$2-$AJ$2)/($B$2-$AJ$2)))+$AJ$2</f>
        <v>0.0605922423717611</v>
      </c>
      <c r="AJ82" s="3">
        <f t="shared" si="16"/>
        <v>0.0562912799347411</v>
      </c>
    </row>
    <row r="83" spans="1:36">
      <c r="A83" t="str">
        <f>"semis_archetype_"&amp;TEXT(ROUND(Table269[[#This Row],[2016]],3),"0.000")</f>
        <v>semis_archetype_0.110</v>
      </c>
      <c r="B83" s="3">
        <f t="shared" si="13"/>
        <v>0.11</v>
      </c>
      <c r="C83" s="3">
        <f t="shared" si="15"/>
        <v>0.11</v>
      </c>
      <c r="D83" s="3">
        <f t="shared" si="15"/>
        <v>0.11</v>
      </c>
      <c r="E83" s="3">
        <f t="shared" si="15"/>
        <v>0.10845969460318</v>
      </c>
      <c r="F83" s="3">
        <f t="shared" si="15"/>
        <v>0.106919389206361</v>
      </c>
      <c r="G83" s="3">
        <f t="shared" si="15"/>
        <v>0.105379083809541</v>
      </c>
      <c r="H83" s="3">
        <f t="shared" si="15"/>
        <v>0.103838778412721</v>
      </c>
      <c r="I83" s="3">
        <f t="shared" si="15"/>
        <v>0.102298473015901</v>
      </c>
      <c r="J83" s="3">
        <f t="shared" si="15"/>
        <v>0.100758167619082</v>
      </c>
      <c r="K83" s="3">
        <f t="shared" si="15"/>
        <v>0.0992178622222618</v>
      </c>
      <c r="L83" s="3">
        <f t="shared" si="15"/>
        <v>0.097677556825442</v>
      </c>
      <c r="M83" s="3">
        <f t="shared" si="15"/>
        <v>0.0961372514286223</v>
      </c>
      <c r="N83" s="3">
        <f t="shared" si="15"/>
        <v>0.0945969460318025</v>
      </c>
      <c r="O83" s="3">
        <f t="shared" si="15"/>
        <v>0.0930566406349828</v>
      </c>
      <c r="P83" s="3">
        <f t="shared" si="15"/>
        <v>0.091516335238163</v>
      </c>
      <c r="Q83" s="3">
        <f t="shared" si="15"/>
        <v>0.0905268053272482</v>
      </c>
      <c r="R83" s="3">
        <f t="shared" si="15"/>
        <v>0.0895372754163333</v>
      </c>
      <c r="S83" s="3">
        <f t="shared" si="14"/>
        <v>0.0885477455054184</v>
      </c>
      <c r="T83" s="3">
        <f t="shared" si="14"/>
        <v>0.0875582155945036</v>
      </c>
      <c r="U83" s="3">
        <f t="shared" si="14"/>
        <v>0.0865686856835887</v>
      </c>
      <c r="V83" s="3">
        <f t="shared" si="14"/>
        <v>0.0853613327644573</v>
      </c>
      <c r="W83" s="3">
        <f t="shared" si="14"/>
        <v>0.0841539798453259</v>
      </c>
      <c r="X83" s="3">
        <f t="shared" si="14"/>
        <v>0.0829466269261945</v>
      </c>
      <c r="Y83" s="3">
        <f t="shared" si="14"/>
        <v>0.0817392740070631</v>
      </c>
      <c r="Z83" s="3">
        <f t="shared" si="14"/>
        <v>0.0805319210879318</v>
      </c>
      <c r="AA83" s="3">
        <f t="shared" si="14"/>
        <v>0.0796184585642675</v>
      </c>
      <c r="AB83" s="3">
        <f t="shared" si="14"/>
        <v>0.0787049960406033</v>
      </c>
      <c r="AC83" s="3">
        <f t="shared" si="14"/>
        <v>0.077791533516939</v>
      </c>
      <c r="AD83" s="3">
        <f t="shared" si="14"/>
        <v>0.0768780709932748</v>
      </c>
      <c r="AE83" s="3">
        <f t="shared" si="14"/>
        <v>0.0759646084696105</v>
      </c>
      <c r="AF83" s="3">
        <f t="shared" si="14"/>
        <v>0.0720299427626366</v>
      </c>
      <c r="AG83" s="3">
        <f t="shared" si="14"/>
        <v>0.0680952770556627</v>
      </c>
      <c r="AH83" s="3">
        <f t="shared" ref="AH83:AJ92" si="17">(($B83-$AJ$2)*((AH$2-$AJ$2)/($B$2-$AJ$2)))+$AJ$2</f>
        <v>0.0641606113486888</v>
      </c>
      <c r="AI83" s="3">
        <f t="shared" si="17"/>
        <v>0.0602259456417149</v>
      </c>
      <c r="AJ83" s="3">
        <f t="shared" si="17"/>
        <v>0.0562912799347411</v>
      </c>
    </row>
    <row r="84" spans="1:36">
      <c r="A84" t="str">
        <f>"semis_archetype_"&amp;TEXT(ROUND(Table269[[#This Row],[2016]],3),"0.000")</f>
        <v>semis_archetype_0.105</v>
      </c>
      <c r="B84" s="3">
        <f t="shared" si="13"/>
        <v>0.105</v>
      </c>
      <c r="C84" s="3">
        <f t="shared" si="15"/>
        <v>0.105</v>
      </c>
      <c r="D84" s="3">
        <f t="shared" si="15"/>
        <v>0.105</v>
      </c>
      <c r="E84" s="3">
        <f t="shared" si="15"/>
        <v>0.103603088952827</v>
      </c>
      <c r="F84" s="3">
        <f t="shared" si="15"/>
        <v>0.102206177905653</v>
      </c>
      <c r="G84" s="3">
        <f t="shared" si="15"/>
        <v>0.10080926685848</v>
      </c>
      <c r="H84" s="3">
        <f t="shared" si="15"/>
        <v>0.0994123558113066</v>
      </c>
      <c r="I84" s="3">
        <f t="shared" si="15"/>
        <v>0.0980154447641333</v>
      </c>
      <c r="J84" s="3">
        <f t="shared" si="15"/>
        <v>0.0966185337169599</v>
      </c>
      <c r="K84" s="3">
        <f t="shared" si="15"/>
        <v>0.0952216226697866</v>
      </c>
      <c r="L84" s="3">
        <f t="shared" si="15"/>
        <v>0.0938247116226133</v>
      </c>
      <c r="M84" s="3">
        <f t="shared" si="15"/>
        <v>0.0924278005754399</v>
      </c>
      <c r="N84" s="3">
        <f t="shared" si="15"/>
        <v>0.0910308895282666</v>
      </c>
      <c r="O84" s="3">
        <f t="shared" si="15"/>
        <v>0.0896339784810932</v>
      </c>
      <c r="P84" s="3">
        <f t="shared" si="15"/>
        <v>0.0882370674339199</v>
      </c>
      <c r="Q84" s="3">
        <f t="shared" si="15"/>
        <v>0.0873396575651241</v>
      </c>
      <c r="R84" s="3">
        <f t="shared" si="15"/>
        <v>0.0864422476963284</v>
      </c>
      <c r="S84" s="3">
        <f t="shared" si="14"/>
        <v>0.0855448378275326</v>
      </c>
      <c r="T84" s="3">
        <f t="shared" si="14"/>
        <v>0.0846474279587368</v>
      </c>
      <c r="U84" s="3">
        <f t="shared" si="14"/>
        <v>0.083750018089941</v>
      </c>
      <c r="V84" s="3">
        <f t="shared" si="14"/>
        <v>0.0826550633919611</v>
      </c>
      <c r="W84" s="3">
        <f t="shared" si="14"/>
        <v>0.0815601086939812</v>
      </c>
      <c r="X84" s="3">
        <f t="shared" si="14"/>
        <v>0.0804651539960013</v>
      </c>
      <c r="Y84" s="3">
        <f t="shared" si="14"/>
        <v>0.0793701992980213</v>
      </c>
      <c r="Z84" s="3">
        <f t="shared" si="14"/>
        <v>0.0782752446000414</v>
      </c>
      <c r="AA84" s="3">
        <f t="shared" si="14"/>
        <v>0.0774468206439091</v>
      </c>
      <c r="AB84" s="3">
        <f t="shared" si="14"/>
        <v>0.0766183966877767</v>
      </c>
      <c r="AC84" s="3">
        <f t="shared" si="14"/>
        <v>0.0757899727316444</v>
      </c>
      <c r="AD84" s="3">
        <f t="shared" si="14"/>
        <v>0.074961548775512</v>
      </c>
      <c r="AE84" s="3">
        <f t="shared" si="14"/>
        <v>0.0741331248193797</v>
      </c>
      <c r="AF84" s="3">
        <f t="shared" si="14"/>
        <v>0.0705647558424519</v>
      </c>
      <c r="AG84" s="3">
        <f t="shared" si="14"/>
        <v>0.0669963868655242</v>
      </c>
      <c r="AH84" s="3">
        <f t="shared" si="17"/>
        <v>0.0634280178885965</v>
      </c>
      <c r="AI84" s="3">
        <f t="shared" si="17"/>
        <v>0.0598596489116688</v>
      </c>
      <c r="AJ84" s="3">
        <f t="shared" si="17"/>
        <v>0.0562912799347411</v>
      </c>
    </row>
    <row r="85" spans="1:36">
      <c r="A85" t="str">
        <f>"semis_archetype_"&amp;TEXT(ROUND(Table269[[#This Row],[2016]],3),"0.000")</f>
        <v>semis_archetype_0.100</v>
      </c>
      <c r="B85" s="3">
        <f t="shared" si="13"/>
        <v>0.1</v>
      </c>
      <c r="C85" s="3">
        <f t="shared" si="15"/>
        <v>0.1</v>
      </c>
      <c r="D85" s="3">
        <f t="shared" si="15"/>
        <v>0.1</v>
      </c>
      <c r="E85" s="3">
        <f t="shared" si="15"/>
        <v>0.0987464833024731</v>
      </c>
      <c r="F85" s="3">
        <f t="shared" si="15"/>
        <v>0.0974929666049462</v>
      </c>
      <c r="G85" s="3">
        <f t="shared" si="15"/>
        <v>0.0962394499074192</v>
      </c>
      <c r="H85" s="3">
        <f t="shared" si="15"/>
        <v>0.0949859332098923</v>
      </c>
      <c r="I85" s="3">
        <f t="shared" si="15"/>
        <v>0.0937324165123653</v>
      </c>
      <c r="J85" s="3">
        <f t="shared" si="15"/>
        <v>0.0924788998148384</v>
      </c>
      <c r="K85" s="3">
        <f t="shared" si="15"/>
        <v>0.0912253831173115</v>
      </c>
      <c r="L85" s="3">
        <f t="shared" si="15"/>
        <v>0.0899718664197845</v>
      </c>
      <c r="M85" s="3">
        <f t="shared" si="15"/>
        <v>0.0887183497222576</v>
      </c>
      <c r="N85" s="3">
        <f t="shared" si="15"/>
        <v>0.0874648330247307</v>
      </c>
      <c r="O85" s="3">
        <f t="shared" si="15"/>
        <v>0.0862113163272037</v>
      </c>
      <c r="P85" s="3">
        <f t="shared" si="15"/>
        <v>0.0849577996296768</v>
      </c>
      <c r="Q85" s="3">
        <f t="shared" si="15"/>
        <v>0.0841525098030001</v>
      </c>
      <c r="R85" s="3">
        <f t="shared" si="15"/>
        <v>0.0833472199763234</v>
      </c>
      <c r="S85" s="3">
        <f t="shared" si="14"/>
        <v>0.0825419301496468</v>
      </c>
      <c r="T85" s="3">
        <f t="shared" si="14"/>
        <v>0.0817366403229701</v>
      </c>
      <c r="U85" s="3">
        <f t="shared" si="14"/>
        <v>0.0809313504962934</v>
      </c>
      <c r="V85" s="3">
        <f t="shared" si="14"/>
        <v>0.0799487940194649</v>
      </c>
      <c r="W85" s="3">
        <f t="shared" si="14"/>
        <v>0.0789662375426365</v>
      </c>
      <c r="X85" s="3">
        <f t="shared" si="14"/>
        <v>0.077983681065808</v>
      </c>
      <c r="Y85" s="3">
        <f t="shared" si="14"/>
        <v>0.0770011245889796</v>
      </c>
      <c r="Z85" s="3">
        <f t="shared" si="14"/>
        <v>0.0760185681121511</v>
      </c>
      <c r="AA85" s="3">
        <f t="shared" si="14"/>
        <v>0.0752751827235506</v>
      </c>
      <c r="AB85" s="3">
        <f t="shared" si="14"/>
        <v>0.0745317973349502</v>
      </c>
      <c r="AC85" s="3">
        <f t="shared" si="14"/>
        <v>0.0737884119463497</v>
      </c>
      <c r="AD85" s="3">
        <f t="shared" si="14"/>
        <v>0.0730450265577493</v>
      </c>
      <c r="AE85" s="3">
        <f t="shared" si="14"/>
        <v>0.0723016411691488</v>
      </c>
      <c r="AF85" s="3">
        <f t="shared" si="14"/>
        <v>0.0690995689222673</v>
      </c>
      <c r="AG85" s="3">
        <f t="shared" si="14"/>
        <v>0.0658974966753857</v>
      </c>
      <c r="AH85" s="3">
        <f t="shared" si="17"/>
        <v>0.0626954244285042</v>
      </c>
      <c r="AI85" s="3">
        <f t="shared" si="17"/>
        <v>0.0594933521816226</v>
      </c>
      <c r="AJ85" s="3">
        <f t="shared" si="17"/>
        <v>0.0562912799347411</v>
      </c>
    </row>
    <row r="86" spans="1:36">
      <c r="A86" t="str">
        <f>"semis_archetype_"&amp;TEXT(ROUND(Table269[[#This Row],[2016]],3),"0.000")</f>
        <v>semis_archetype_0.095</v>
      </c>
      <c r="B86" s="3">
        <f t="shared" si="13"/>
        <v>0.095</v>
      </c>
      <c r="C86" s="3">
        <f t="shared" si="15"/>
        <v>0.095</v>
      </c>
      <c r="D86" s="3">
        <f t="shared" si="15"/>
        <v>0.095</v>
      </c>
      <c r="E86" s="3">
        <f t="shared" si="15"/>
        <v>0.0938898776521195</v>
      </c>
      <c r="F86" s="3">
        <f t="shared" si="15"/>
        <v>0.092779755304239</v>
      </c>
      <c r="G86" s="3">
        <f t="shared" si="15"/>
        <v>0.0916696329563584</v>
      </c>
      <c r="H86" s="3">
        <f t="shared" si="15"/>
        <v>0.0905595106084779</v>
      </c>
      <c r="I86" s="3">
        <f t="shared" si="15"/>
        <v>0.0894493882605974</v>
      </c>
      <c r="J86" s="3">
        <f t="shared" si="15"/>
        <v>0.0883392659127168</v>
      </c>
      <c r="K86" s="3">
        <f t="shared" si="15"/>
        <v>0.0872291435648363</v>
      </c>
      <c r="L86" s="3">
        <f t="shared" si="15"/>
        <v>0.0861190212169558</v>
      </c>
      <c r="M86" s="3">
        <f t="shared" si="15"/>
        <v>0.0850088988690753</v>
      </c>
      <c r="N86" s="3">
        <f t="shared" si="15"/>
        <v>0.0838987765211947</v>
      </c>
      <c r="O86" s="3">
        <f t="shared" si="15"/>
        <v>0.0827886541733142</v>
      </c>
      <c r="P86" s="3">
        <f t="shared" si="15"/>
        <v>0.0816785318254337</v>
      </c>
      <c r="Q86" s="3">
        <f t="shared" si="15"/>
        <v>0.0809653620408761</v>
      </c>
      <c r="R86" s="3">
        <f t="shared" si="15"/>
        <v>0.0802521922563185</v>
      </c>
      <c r="S86" s="3">
        <f t="shared" si="14"/>
        <v>0.0795390224717609</v>
      </c>
      <c r="T86" s="3">
        <f t="shared" si="14"/>
        <v>0.0788258526872034</v>
      </c>
      <c r="U86" s="3">
        <f t="shared" si="14"/>
        <v>0.0781126829026458</v>
      </c>
      <c r="V86" s="3">
        <f t="shared" si="14"/>
        <v>0.0772425246469688</v>
      </c>
      <c r="W86" s="3">
        <f t="shared" si="14"/>
        <v>0.0763723663912918</v>
      </c>
      <c r="X86" s="3">
        <f t="shared" si="14"/>
        <v>0.0755022081356148</v>
      </c>
      <c r="Y86" s="3">
        <f t="shared" si="14"/>
        <v>0.0746320498799378</v>
      </c>
      <c r="Z86" s="3">
        <f t="shared" si="14"/>
        <v>0.0737618916242608</v>
      </c>
      <c r="AA86" s="3">
        <f t="shared" si="14"/>
        <v>0.0731035448031922</v>
      </c>
      <c r="AB86" s="3">
        <f t="shared" si="14"/>
        <v>0.0724451979821236</v>
      </c>
      <c r="AC86" s="3">
        <f t="shared" si="14"/>
        <v>0.0717868511610551</v>
      </c>
      <c r="AD86" s="3">
        <f t="shared" si="14"/>
        <v>0.0711285043399865</v>
      </c>
      <c r="AE86" s="3">
        <f t="shared" si="14"/>
        <v>0.070470157518918</v>
      </c>
      <c r="AF86" s="3">
        <f t="shared" si="14"/>
        <v>0.0676343820020826</v>
      </c>
      <c r="AG86" s="3">
        <f t="shared" si="14"/>
        <v>0.0647986064852472</v>
      </c>
      <c r="AH86" s="3">
        <f t="shared" si="17"/>
        <v>0.0619628309684118</v>
      </c>
      <c r="AI86" s="3">
        <f t="shared" si="17"/>
        <v>0.0591270554515764</v>
      </c>
      <c r="AJ86" s="3">
        <f t="shared" si="17"/>
        <v>0.0562912799347411</v>
      </c>
    </row>
    <row r="87" spans="1:36">
      <c r="A87" t="str">
        <f>"semis_archetype_"&amp;TEXT(ROUND(Table269[[#This Row],[2016]],3),"0.000")</f>
        <v>semis_archetype_0.090</v>
      </c>
      <c r="B87" s="3">
        <f t="shared" si="13"/>
        <v>0.09</v>
      </c>
      <c r="C87" s="3">
        <f t="shared" si="15"/>
        <v>0.09</v>
      </c>
      <c r="D87" s="3">
        <f t="shared" si="15"/>
        <v>0.09</v>
      </c>
      <c r="E87" s="3">
        <f t="shared" si="15"/>
        <v>0.0890332720017659</v>
      </c>
      <c r="F87" s="3">
        <f t="shared" si="15"/>
        <v>0.0880665440035318</v>
      </c>
      <c r="G87" s="3">
        <f t="shared" si="15"/>
        <v>0.0870998160052976</v>
      </c>
      <c r="H87" s="3">
        <f t="shared" si="15"/>
        <v>0.0861330880070635</v>
      </c>
      <c r="I87" s="3">
        <f t="shared" si="15"/>
        <v>0.0851663600088294</v>
      </c>
      <c r="J87" s="3">
        <f t="shared" si="15"/>
        <v>0.0841996320105953</v>
      </c>
      <c r="K87" s="3">
        <f t="shared" si="15"/>
        <v>0.0832329040123612</v>
      </c>
      <c r="L87" s="3">
        <f t="shared" si="15"/>
        <v>0.082266176014127</v>
      </c>
      <c r="M87" s="3">
        <f t="shared" si="15"/>
        <v>0.0812994480158929</v>
      </c>
      <c r="N87" s="3">
        <f t="shared" si="15"/>
        <v>0.0803327200176588</v>
      </c>
      <c r="O87" s="3">
        <f t="shared" si="15"/>
        <v>0.0793659920194247</v>
      </c>
      <c r="P87" s="3">
        <f t="shared" si="15"/>
        <v>0.0783992640211906</v>
      </c>
      <c r="Q87" s="3">
        <f t="shared" si="15"/>
        <v>0.0777782142787521</v>
      </c>
      <c r="R87" s="3">
        <f t="shared" si="15"/>
        <v>0.0771571645363136</v>
      </c>
      <c r="S87" s="3">
        <f t="shared" si="14"/>
        <v>0.0765361147938751</v>
      </c>
      <c r="T87" s="3">
        <f t="shared" si="14"/>
        <v>0.0759150650514366</v>
      </c>
      <c r="U87" s="3">
        <f t="shared" si="14"/>
        <v>0.0752940153089981</v>
      </c>
      <c r="V87" s="3">
        <f t="shared" si="14"/>
        <v>0.0745362552744726</v>
      </c>
      <c r="W87" s="3">
        <f t="shared" si="14"/>
        <v>0.073778495239947</v>
      </c>
      <c r="X87" s="3">
        <f t="shared" si="14"/>
        <v>0.0730207352054215</v>
      </c>
      <c r="Y87" s="3">
        <f t="shared" si="14"/>
        <v>0.072262975170896</v>
      </c>
      <c r="Z87" s="3">
        <f t="shared" si="14"/>
        <v>0.0715052151363704</v>
      </c>
      <c r="AA87" s="3">
        <f t="shared" si="14"/>
        <v>0.0709319068828338</v>
      </c>
      <c r="AB87" s="3">
        <f t="shared" si="14"/>
        <v>0.0703585986292971</v>
      </c>
      <c r="AC87" s="3">
        <f t="shared" si="14"/>
        <v>0.0697852903757605</v>
      </c>
      <c r="AD87" s="3">
        <f t="shared" si="14"/>
        <v>0.0692119821222238</v>
      </c>
      <c r="AE87" s="3">
        <f t="shared" si="14"/>
        <v>0.0686386738686871</v>
      </c>
      <c r="AF87" s="3">
        <f t="shared" si="14"/>
        <v>0.0661691950818979</v>
      </c>
      <c r="AG87" s="3">
        <f t="shared" si="14"/>
        <v>0.0636997162951087</v>
      </c>
      <c r="AH87" s="3">
        <f t="shared" si="17"/>
        <v>0.0612302375083195</v>
      </c>
      <c r="AI87" s="3">
        <f t="shared" si="17"/>
        <v>0.0587607587215303</v>
      </c>
      <c r="AJ87" s="3">
        <f t="shared" si="17"/>
        <v>0.0562912799347411</v>
      </c>
    </row>
    <row r="88" spans="1:36">
      <c r="A88" t="str">
        <f>"semis_archetype_"&amp;TEXT(ROUND(Table269[[#This Row],[2016]],3),"0.000")</f>
        <v>semis_archetype_0.085</v>
      </c>
      <c r="B88" s="3">
        <f t="shared" si="13"/>
        <v>0.085</v>
      </c>
      <c r="C88" s="3">
        <f t="shared" si="15"/>
        <v>0.085</v>
      </c>
      <c r="D88" s="3">
        <f t="shared" si="15"/>
        <v>0.085</v>
      </c>
      <c r="E88" s="3">
        <f t="shared" si="15"/>
        <v>0.0841766663514123</v>
      </c>
      <c r="F88" s="3">
        <f t="shared" si="15"/>
        <v>0.0833533327028246</v>
      </c>
      <c r="G88" s="3">
        <f t="shared" si="15"/>
        <v>0.0825299990542369</v>
      </c>
      <c r="H88" s="3">
        <f t="shared" si="15"/>
        <v>0.0817066654056492</v>
      </c>
      <c r="I88" s="3">
        <f t="shared" si="15"/>
        <v>0.0808833317570614</v>
      </c>
      <c r="J88" s="3">
        <f t="shared" si="15"/>
        <v>0.0800599981084737</v>
      </c>
      <c r="K88" s="3">
        <f t="shared" si="15"/>
        <v>0.079236664459886</v>
      </c>
      <c r="L88" s="3">
        <f t="shared" si="15"/>
        <v>0.0784133308112983</v>
      </c>
      <c r="M88" s="3">
        <f t="shared" si="15"/>
        <v>0.0775899971627106</v>
      </c>
      <c r="N88" s="3">
        <f t="shared" si="15"/>
        <v>0.0767666635141229</v>
      </c>
      <c r="O88" s="3">
        <f t="shared" si="15"/>
        <v>0.0759433298655352</v>
      </c>
      <c r="P88" s="3">
        <f t="shared" si="15"/>
        <v>0.0751199962169475</v>
      </c>
      <c r="Q88" s="3">
        <f t="shared" si="15"/>
        <v>0.0745910665166281</v>
      </c>
      <c r="R88" s="3">
        <f t="shared" si="15"/>
        <v>0.0740621368163087</v>
      </c>
      <c r="S88" s="3">
        <f t="shared" si="14"/>
        <v>0.0735332071159893</v>
      </c>
      <c r="T88" s="3">
        <f t="shared" si="14"/>
        <v>0.0730042774156699</v>
      </c>
      <c r="U88" s="3">
        <f t="shared" si="14"/>
        <v>0.0724753477153505</v>
      </c>
      <c r="V88" s="3">
        <f t="shared" si="14"/>
        <v>0.0718299859019764</v>
      </c>
      <c r="W88" s="3">
        <f t="shared" si="14"/>
        <v>0.0711846240886023</v>
      </c>
      <c r="X88" s="3">
        <f t="shared" si="14"/>
        <v>0.0705392622752283</v>
      </c>
      <c r="Y88" s="3">
        <f t="shared" si="14"/>
        <v>0.0698939004618542</v>
      </c>
      <c r="Z88" s="3">
        <f t="shared" si="14"/>
        <v>0.0692485386484801</v>
      </c>
      <c r="AA88" s="3">
        <f t="shared" si="14"/>
        <v>0.0687602689624753</v>
      </c>
      <c r="AB88" s="3">
        <f t="shared" si="14"/>
        <v>0.0682719992764706</v>
      </c>
      <c r="AC88" s="3">
        <f t="shared" si="14"/>
        <v>0.0677837295904658</v>
      </c>
      <c r="AD88" s="3">
        <f t="shared" si="14"/>
        <v>0.067295459904461</v>
      </c>
      <c r="AE88" s="3">
        <f t="shared" si="14"/>
        <v>0.0668071902184563</v>
      </c>
      <c r="AF88" s="3">
        <f t="shared" si="14"/>
        <v>0.0647040081617132</v>
      </c>
      <c r="AG88" s="3">
        <f t="shared" si="14"/>
        <v>0.0626008261049702</v>
      </c>
      <c r="AH88" s="3">
        <f t="shared" si="17"/>
        <v>0.0604976440482271</v>
      </c>
      <c r="AI88" s="3">
        <f t="shared" si="17"/>
        <v>0.0583944619914841</v>
      </c>
      <c r="AJ88" s="3">
        <f t="shared" si="17"/>
        <v>0.0562912799347411</v>
      </c>
    </row>
    <row r="89" spans="1:36">
      <c r="A89" t="str">
        <f>"semis_archetype_"&amp;TEXT(ROUND(Table269[[#This Row],[2016]],3),"0.000")</f>
        <v>semis_archetype_0.080</v>
      </c>
      <c r="B89" s="3">
        <f t="shared" si="13"/>
        <v>0.08</v>
      </c>
      <c r="C89" s="3">
        <f t="shared" si="15"/>
        <v>0.08</v>
      </c>
      <c r="D89" s="3">
        <f t="shared" si="15"/>
        <v>0.08</v>
      </c>
      <c r="E89" s="3">
        <f t="shared" si="15"/>
        <v>0.0793200607010587</v>
      </c>
      <c r="F89" s="3">
        <f t="shared" si="15"/>
        <v>0.0786401214021174</v>
      </c>
      <c r="G89" s="3">
        <f t="shared" si="15"/>
        <v>0.0779601821031761</v>
      </c>
      <c r="H89" s="3">
        <f t="shared" si="15"/>
        <v>0.0772802428042348</v>
      </c>
      <c r="I89" s="3">
        <f t="shared" si="15"/>
        <v>0.0766003035052935</v>
      </c>
      <c r="J89" s="3">
        <f t="shared" si="15"/>
        <v>0.0759203642063522</v>
      </c>
      <c r="K89" s="3">
        <f t="shared" si="15"/>
        <v>0.0752404249074109</v>
      </c>
      <c r="L89" s="3">
        <f t="shared" si="15"/>
        <v>0.0745604856084696</v>
      </c>
      <c r="M89" s="3">
        <f t="shared" si="15"/>
        <v>0.0738805463095283</v>
      </c>
      <c r="N89" s="3">
        <f t="shared" si="15"/>
        <v>0.0732006070105869</v>
      </c>
      <c r="O89" s="3">
        <f t="shared" si="15"/>
        <v>0.0725206677116456</v>
      </c>
      <c r="P89" s="3">
        <f t="shared" si="15"/>
        <v>0.0718407284127043</v>
      </c>
      <c r="Q89" s="3">
        <f t="shared" si="15"/>
        <v>0.071403918754504</v>
      </c>
      <c r="R89" s="3">
        <f t="shared" si="15"/>
        <v>0.0709671090963037</v>
      </c>
      <c r="S89" s="3">
        <f t="shared" si="14"/>
        <v>0.0705302994381034</v>
      </c>
      <c r="T89" s="3">
        <f t="shared" si="14"/>
        <v>0.0700934897799032</v>
      </c>
      <c r="U89" s="3">
        <f t="shared" si="14"/>
        <v>0.0696566801217028</v>
      </c>
      <c r="V89" s="3">
        <f t="shared" si="14"/>
        <v>0.0691237165294802</v>
      </c>
      <c r="W89" s="3">
        <f t="shared" si="14"/>
        <v>0.0685907529372576</v>
      </c>
      <c r="X89" s="3">
        <f t="shared" si="14"/>
        <v>0.068057789345035</v>
      </c>
      <c r="Y89" s="3">
        <f t="shared" si="14"/>
        <v>0.0675248257528124</v>
      </c>
      <c r="Z89" s="3">
        <f t="shared" si="14"/>
        <v>0.0669918621605898</v>
      </c>
      <c r="AA89" s="3">
        <f t="shared" si="14"/>
        <v>0.0665886310421169</v>
      </c>
      <c r="AB89" s="3">
        <f t="shared" si="14"/>
        <v>0.066185399923644</v>
      </c>
      <c r="AC89" s="3">
        <f t="shared" si="14"/>
        <v>0.0657821688051712</v>
      </c>
      <c r="AD89" s="3">
        <f t="shared" si="14"/>
        <v>0.0653789376866983</v>
      </c>
      <c r="AE89" s="3">
        <f t="shared" si="14"/>
        <v>0.0649757065682254</v>
      </c>
      <c r="AF89" s="3">
        <f t="shared" si="14"/>
        <v>0.0632388212415285</v>
      </c>
      <c r="AG89" s="3">
        <f t="shared" si="14"/>
        <v>0.0615019359148317</v>
      </c>
      <c r="AH89" s="3">
        <f t="shared" si="17"/>
        <v>0.0597650505881348</v>
      </c>
      <c r="AI89" s="3">
        <f t="shared" si="17"/>
        <v>0.0580281652614379</v>
      </c>
      <c r="AJ89" s="3">
        <f t="shared" si="17"/>
        <v>0.0562912799347411</v>
      </c>
    </row>
    <row r="90" spans="1:36">
      <c r="A90" t="str">
        <f>"semis_archetype_"&amp;TEXT(ROUND(Table269[[#This Row],[2016]],3),"0.000")</f>
        <v>semis_archetype_0.075</v>
      </c>
      <c r="B90" s="3">
        <f t="shared" si="13"/>
        <v>0.075</v>
      </c>
      <c r="C90" s="3">
        <f t="shared" si="15"/>
        <v>0.075</v>
      </c>
      <c r="D90" s="3">
        <f t="shared" si="15"/>
        <v>0.075</v>
      </c>
      <c r="E90" s="3">
        <f t="shared" si="15"/>
        <v>0.0744634550507051</v>
      </c>
      <c r="F90" s="3">
        <f t="shared" si="15"/>
        <v>0.0739269101014102</v>
      </c>
      <c r="G90" s="3">
        <f t="shared" si="15"/>
        <v>0.0733903651521153</v>
      </c>
      <c r="H90" s="3">
        <f t="shared" si="15"/>
        <v>0.0728538202028204</v>
      </c>
      <c r="I90" s="3">
        <f t="shared" si="15"/>
        <v>0.0723172752535255</v>
      </c>
      <c r="J90" s="3">
        <f t="shared" si="15"/>
        <v>0.0717807303042306</v>
      </c>
      <c r="K90" s="3">
        <f t="shared" si="15"/>
        <v>0.0712441853549357</v>
      </c>
      <c r="L90" s="3">
        <f t="shared" si="15"/>
        <v>0.0707076404056408</v>
      </c>
      <c r="M90" s="3">
        <f t="shared" si="15"/>
        <v>0.0701710954563459</v>
      </c>
      <c r="N90" s="3">
        <f t="shared" si="15"/>
        <v>0.069634550507051</v>
      </c>
      <c r="O90" s="3">
        <f t="shared" si="15"/>
        <v>0.0690980055577561</v>
      </c>
      <c r="P90" s="3">
        <f t="shared" si="15"/>
        <v>0.0685614606084612</v>
      </c>
      <c r="Q90" s="3">
        <f t="shared" si="15"/>
        <v>0.06821677099238</v>
      </c>
      <c r="R90" s="3">
        <f t="shared" si="15"/>
        <v>0.0678720813762988</v>
      </c>
      <c r="S90" s="3">
        <f t="shared" si="14"/>
        <v>0.0675273917602176</v>
      </c>
      <c r="T90" s="3">
        <f t="shared" si="14"/>
        <v>0.0671827021441364</v>
      </c>
      <c r="U90" s="3">
        <f t="shared" si="14"/>
        <v>0.0668380125280552</v>
      </c>
      <c r="V90" s="3">
        <f t="shared" si="14"/>
        <v>0.0664174471569841</v>
      </c>
      <c r="W90" s="3">
        <f t="shared" si="14"/>
        <v>0.0659968817859129</v>
      </c>
      <c r="X90" s="3">
        <f t="shared" si="14"/>
        <v>0.0655763164148417</v>
      </c>
      <c r="Y90" s="3">
        <f t="shared" si="14"/>
        <v>0.0651557510437706</v>
      </c>
      <c r="Z90" s="3">
        <f t="shared" si="14"/>
        <v>0.0647351856726994</v>
      </c>
      <c r="AA90" s="3">
        <f t="shared" si="14"/>
        <v>0.0644169931217585</v>
      </c>
      <c r="AB90" s="3">
        <f t="shared" si="14"/>
        <v>0.0640988005708175</v>
      </c>
      <c r="AC90" s="3">
        <f t="shared" si="14"/>
        <v>0.0637806080198765</v>
      </c>
      <c r="AD90" s="3">
        <f t="shared" si="14"/>
        <v>0.0634624154689356</v>
      </c>
      <c r="AE90" s="3">
        <f t="shared" si="14"/>
        <v>0.0631442229179946</v>
      </c>
      <c r="AF90" s="3">
        <f t="shared" si="14"/>
        <v>0.0617736343213439</v>
      </c>
      <c r="AG90" s="3">
        <f t="shared" si="14"/>
        <v>0.0604030457246932</v>
      </c>
      <c r="AH90" s="3">
        <f t="shared" si="17"/>
        <v>0.0590324571280425</v>
      </c>
      <c r="AI90" s="3">
        <f t="shared" si="17"/>
        <v>0.0576618685313918</v>
      </c>
      <c r="AJ90" s="3">
        <f t="shared" si="17"/>
        <v>0.0562912799347411</v>
      </c>
    </row>
    <row r="91" spans="1:36">
      <c r="A91" t="str">
        <f>"semis_archetype_"&amp;TEXT(ROUND(Table269[[#This Row],[2016]],3),"0.000")</f>
        <v>semis_archetype_0.070</v>
      </c>
      <c r="B91" s="3">
        <f t="shared" si="13"/>
        <v>0.07</v>
      </c>
      <c r="C91" s="3">
        <f t="shared" si="15"/>
        <v>0.07</v>
      </c>
      <c r="D91" s="3">
        <f t="shared" si="15"/>
        <v>0.07</v>
      </c>
      <c r="E91" s="3">
        <f t="shared" si="15"/>
        <v>0.0696068494003515</v>
      </c>
      <c r="F91" s="3">
        <f t="shared" si="15"/>
        <v>0.069213698800703</v>
      </c>
      <c r="G91" s="3">
        <f t="shared" si="15"/>
        <v>0.0688205482010545</v>
      </c>
      <c r="H91" s="3">
        <f t="shared" si="15"/>
        <v>0.068427397601406</v>
      </c>
      <c r="I91" s="3">
        <f t="shared" si="15"/>
        <v>0.0680342470017575</v>
      </c>
      <c r="J91" s="3">
        <f t="shared" si="15"/>
        <v>0.0676410964021091</v>
      </c>
      <c r="K91" s="3">
        <f t="shared" si="15"/>
        <v>0.0672479458024606</v>
      </c>
      <c r="L91" s="3">
        <f t="shared" si="15"/>
        <v>0.0668547952028121</v>
      </c>
      <c r="M91" s="3">
        <f t="shared" si="15"/>
        <v>0.0664616446031636</v>
      </c>
      <c r="N91" s="3">
        <f t="shared" si="15"/>
        <v>0.0660684940035151</v>
      </c>
      <c r="O91" s="3">
        <f t="shared" si="15"/>
        <v>0.0656753434038666</v>
      </c>
      <c r="P91" s="3">
        <f t="shared" si="15"/>
        <v>0.0652821928042181</v>
      </c>
      <c r="Q91" s="3">
        <f t="shared" si="15"/>
        <v>0.065029623230256</v>
      </c>
      <c r="R91" s="3">
        <f t="shared" si="15"/>
        <v>0.0647770536562939</v>
      </c>
      <c r="S91" s="3">
        <f t="shared" si="14"/>
        <v>0.0645244840823318</v>
      </c>
      <c r="T91" s="3">
        <f t="shared" si="14"/>
        <v>0.0642719145083697</v>
      </c>
      <c r="U91" s="3">
        <f t="shared" si="14"/>
        <v>0.0640193449344076</v>
      </c>
      <c r="V91" s="3">
        <f t="shared" si="14"/>
        <v>0.0637111777844879</v>
      </c>
      <c r="W91" s="3">
        <f t="shared" si="14"/>
        <v>0.0634030106345682</v>
      </c>
      <c r="X91" s="3">
        <f t="shared" si="14"/>
        <v>0.0630948434846485</v>
      </c>
      <c r="Y91" s="3">
        <f t="shared" si="14"/>
        <v>0.0627866763347288</v>
      </c>
      <c r="Z91" s="3">
        <f t="shared" si="14"/>
        <v>0.0624785091848091</v>
      </c>
      <c r="AA91" s="3">
        <f t="shared" si="14"/>
        <v>0.0622453552014</v>
      </c>
      <c r="AB91" s="3">
        <f t="shared" si="14"/>
        <v>0.062012201217991</v>
      </c>
      <c r="AC91" s="3">
        <f t="shared" si="14"/>
        <v>0.0617790472345819</v>
      </c>
      <c r="AD91" s="3">
        <f t="shared" si="14"/>
        <v>0.0615458932511728</v>
      </c>
      <c r="AE91" s="3">
        <f t="shared" si="14"/>
        <v>0.0613127392677637</v>
      </c>
      <c r="AF91" s="3">
        <f t="shared" si="14"/>
        <v>0.0603084474011592</v>
      </c>
      <c r="AG91" s="3">
        <f t="shared" si="14"/>
        <v>0.0593041555345547</v>
      </c>
      <c r="AH91" s="3">
        <f t="shared" si="17"/>
        <v>0.0582998636679501</v>
      </c>
      <c r="AI91" s="3">
        <f t="shared" si="17"/>
        <v>0.0572955718013456</v>
      </c>
      <c r="AJ91" s="3">
        <f t="shared" si="17"/>
        <v>0.0562912799347411</v>
      </c>
    </row>
    <row r="92" spans="1:36">
      <c r="A92" t="str">
        <f>"semis_archetype_"&amp;TEXT(ROUND(Table269[[#This Row],[2016]],3),"0.000")</f>
        <v>semis_archetype_0.065</v>
      </c>
      <c r="B92" s="3">
        <f t="shared" si="13"/>
        <v>0.065</v>
      </c>
      <c r="C92" s="3">
        <f t="shared" si="15"/>
        <v>0.065</v>
      </c>
      <c r="D92" s="3">
        <f t="shared" si="15"/>
        <v>0.065</v>
      </c>
      <c r="E92" s="3">
        <f t="shared" si="15"/>
        <v>0.0647502437499979</v>
      </c>
      <c r="F92" s="3">
        <f t="shared" si="15"/>
        <v>0.0645004874999958</v>
      </c>
      <c r="G92" s="3">
        <f t="shared" si="15"/>
        <v>0.0642507312499938</v>
      </c>
      <c r="H92" s="3">
        <f t="shared" si="15"/>
        <v>0.0640009749999917</v>
      </c>
      <c r="I92" s="3">
        <f t="shared" si="15"/>
        <v>0.0637512187499896</v>
      </c>
      <c r="J92" s="3">
        <f t="shared" si="15"/>
        <v>0.0635014624999875</v>
      </c>
      <c r="K92" s="3">
        <f t="shared" si="15"/>
        <v>0.0632517062499854</v>
      </c>
      <c r="L92" s="3">
        <f t="shared" si="15"/>
        <v>0.0630019499999833</v>
      </c>
      <c r="M92" s="3">
        <f t="shared" si="15"/>
        <v>0.0627521937499812</v>
      </c>
      <c r="N92" s="3">
        <f t="shared" si="15"/>
        <v>0.0625024374999792</v>
      </c>
      <c r="O92" s="3">
        <f t="shared" si="15"/>
        <v>0.0622526812499771</v>
      </c>
      <c r="P92" s="3">
        <f t="shared" si="15"/>
        <v>0.062002924999975</v>
      </c>
      <c r="Q92" s="3">
        <f t="shared" si="15"/>
        <v>0.061842475468132</v>
      </c>
      <c r="R92" s="3">
        <f t="shared" ref="R92:AG92" si="18">(($B92-$AJ$2)*((R$2-$AJ$2)/($B$2-$AJ$2)))+$AJ$2</f>
        <v>0.061682025936289</v>
      </c>
      <c r="S92" s="3">
        <f t="shared" si="18"/>
        <v>0.061521576404446</v>
      </c>
      <c r="T92" s="3">
        <f t="shared" si="18"/>
        <v>0.0613611268726029</v>
      </c>
      <c r="U92" s="3">
        <f t="shared" si="18"/>
        <v>0.0612006773407599</v>
      </c>
      <c r="V92" s="3">
        <f t="shared" si="18"/>
        <v>0.0610049084119917</v>
      </c>
      <c r="W92" s="3">
        <f t="shared" si="18"/>
        <v>0.0608091394832235</v>
      </c>
      <c r="X92" s="3">
        <f t="shared" si="18"/>
        <v>0.0606133705544552</v>
      </c>
      <c r="Y92" s="3">
        <f t="shared" si="18"/>
        <v>0.060417601625687</v>
      </c>
      <c r="Z92" s="3">
        <f t="shared" si="18"/>
        <v>0.0602218326969188</v>
      </c>
      <c r="AA92" s="3">
        <f t="shared" si="18"/>
        <v>0.0600737172810416</v>
      </c>
      <c r="AB92" s="3">
        <f t="shared" si="18"/>
        <v>0.0599256018651644</v>
      </c>
      <c r="AC92" s="3">
        <f t="shared" si="18"/>
        <v>0.0597774864492872</v>
      </c>
      <c r="AD92" s="3">
        <f t="shared" si="18"/>
        <v>0.0596293710334101</v>
      </c>
      <c r="AE92" s="3">
        <f t="shared" si="18"/>
        <v>0.0594812556175329</v>
      </c>
      <c r="AF92" s="3">
        <f t="shared" si="18"/>
        <v>0.0588432604809745</v>
      </c>
      <c r="AG92" s="3">
        <f t="shared" si="18"/>
        <v>0.0582052653444161</v>
      </c>
      <c r="AH92" s="3">
        <f t="shared" si="17"/>
        <v>0.0575672702078578</v>
      </c>
      <c r="AI92" s="3">
        <f t="shared" si="17"/>
        <v>0.0569292750712994</v>
      </c>
      <c r="AJ92" s="3">
        <f t="shared" si="17"/>
        <v>0.0562912799347411</v>
      </c>
    </row>
    <row r="93" spans="1:36">
      <c r="A93" t="str">
        <f>"semis_archetype_"&amp;TEXT(ROUND(Table269[[#This Row],[2016]],3),"0.000")</f>
        <v>semis_archetype_0.060</v>
      </c>
      <c r="B93" s="3">
        <f t="shared" si="13"/>
        <v>0.06</v>
      </c>
      <c r="C93" s="3">
        <f t="shared" ref="C93:AJ93" si="19">(($B93-$AJ$2)*((C$2-$AJ$2)/($B$2-$AJ$2)))+$AJ$2</f>
        <v>0.06</v>
      </c>
      <c r="D93" s="3">
        <f t="shared" si="19"/>
        <v>0.06</v>
      </c>
      <c r="E93" s="3">
        <f t="shared" si="19"/>
        <v>0.0598936380996443</v>
      </c>
      <c r="F93" s="3">
        <f t="shared" si="19"/>
        <v>0.0597872761992886</v>
      </c>
      <c r="G93" s="3">
        <f t="shared" si="19"/>
        <v>0.059680914298933</v>
      </c>
      <c r="H93" s="3">
        <f t="shared" si="19"/>
        <v>0.0595745523985773</v>
      </c>
      <c r="I93" s="3">
        <f t="shared" si="19"/>
        <v>0.0594681904982216</v>
      </c>
      <c r="J93" s="3">
        <f t="shared" si="19"/>
        <v>0.0593618285978659</v>
      </c>
      <c r="K93" s="3">
        <f t="shared" si="19"/>
        <v>0.0592554666975103</v>
      </c>
      <c r="L93" s="3">
        <f t="shared" si="19"/>
        <v>0.0591491047971546</v>
      </c>
      <c r="M93" s="3">
        <f t="shared" si="19"/>
        <v>0.0590427428967989</v>
      </c>
      <c r="N93" s="3">
        <f t="shared" si="19"/>
        <v>0.0589363809964432</v>
      </c>
      <c r="O93" s="3">
        <f t="shared" si="19"/>
        <v>0.0588300190960876</v>
      </c>
      <c r="P93" s="3">
        <f t="shared" si="19"/>
        <v>0.0587236571957319</v>
      </c>
      <c r="Q93" s="3">
        <f t="shared" si="19"/>
        <v>0.058655327706008</v>
      </c>
      <c r="R93" s="3">
        <f t="shared" si="19"/>
        <v>0.058586998216284</v>
      </c>
      <c r="S93" s="3">
        <f t="shared" si="19"/>
        <v>0.0585186687265601</v>
      </c>
      <c r="T93" s="3">
        <f t="shared" si="19"/>
        <v>0.0584503392368362</v>
      </c>
      <c r="U93" s="3">
        <f t="shared" si="19"/>
        <v>0.0583820097471123</v>
      </c>
      <c r="V93" s="3">
        <f t="shared" si="19"/>
        <v>0.0582986390394955</v>
      </c>
      <c r="W93" s="3">
        <f t="shared" si="19"/>
        <v>0.0582152683318787</v>
      </c>
      <c r="X93" s="3">
        <f t="shared" si="19"/>
        <v>0.058131897624262</v>
      </c>
      <c r="Y93" s="3">
        <f t="shared" si="19"/>
        <v>0.0580485269166452</v>
      </c>
      <c r="Z93" s="3">
        <f t="shared" si="19"/>
        <v>0.0579651562090285</v>
      </c>
      <c r="AA93" s="3">
        <f t="shared" si="19"/>
        <v>0.0579020793606832</v>
      </c>
      <c r="AB93" s="3">
        <f t="shared" si="19"/>
        <v>0.0578390025123379</v>
      </c>
      <c r="AC93" s="3">
        <f t="shared" si="19"/>
        <v>0.0577759256639926</v>
      </c>
      <c r="AD93" s="3">
        <f t="shared" si="19"/>
        <v>0.0577128488156473</v>
      </c>
      <c r="AE93" s="3">
        <f t="shared" si="19"/>
        <v>0.057649771967302</v>
      </c>
      <c r="AF93" s="3">
        <f t="shared" si="19"/>
        <v>0.0573780735607898</v>
      </c>
      <c r="AG93" s="3">
        <f t="shared" si="19"/>
        <v>0.0571063751542776</v>
      </c>
      <c r="AH93" s="3">
        <f t="shared" si="19"/>
        <v>0.0568346767477654</v>
      </c>
      <c r="AI93" s="3">
        <f t="shared" si="19"/>
        <v>0.0565629783412533</v>
      </c>
      <c r="AJ93" s="3">
        <f t="shared" si="19"/>
        <v>0.0562912799347411</v>
      </c>
    </row>
    <row r="94" spans="1:36">
      <c r="A94" t="s">
        <v>209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</row>
  </sheetData>
  <pageMargins left="0.7" right="0.7" top="0.75" bottom="0.75" header="0.3" footer="0.3"/>
  <pageSetup paperSize="9" orientation="portrait"/>
  <headerFooter/>
  <drawing r:id="rId1"/>
  <tableParts count="2">
    <tablePart r:id="rId2"/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C4:D38"/>
  <sheetViews>
    <sheetView topLeftCell="A25" workbookViewId="0">
      <selection activeCell="AI20" sqref="AI20"/>
    </sheetView>
  </sheetViews>
  <sheetFormatPr defaultColWidth="8.83333333333333" defaultRowHeight="13.5" outlineLevelCol="3"/>
  <cols>
    <col min="3" max="3" width="9.5" customWidth="1"/>
  </cols>
  <sheetData>
    <row r="4" spans="3:4">
      <c r="C4" t="s">
        <v>220</v>
      </c>
      <c r="D4" s="2" t="s">
        <v>221</v>
      </c>
    </row>
    <row r="38" spans="3:4">
      <c r="C38" t="s">
        <v>222</v>
      </c>
      <c r="D38" t="s">
        <v>223</v>
      </c>
    </row>
  </sheetData>
  <hyperlinks>
    <hyperlink ref="D4" r:id="rId2" display="https://international-aluminium.org/resource/good-practice-for-calculation-of-primary-aluminium-and-precursor-product-carbon-footprints/"/>
  </hyperlinks>
  <pageMargins left="0.7" right="0.7" top="0.75" bottom="0.75" header="0.3" footer="0.3"/>
  <headerFooter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C2:K4"/>
  <sheetViews>
    <sheetView topLeftCell="A3" workbookViewId="0">
      <selection activeCell="K4" sqref="K4"/>
    </sheetView>
  </sheetViews>
  <sheetFormatPr defaultColWidth="8.83333333333333" defaultRowHeight="13.5" outlineLevelRow="3"/>
  <cols>
    <col min="3" max="3" width="64.1666666666667" customWidth="1"/>
    <col min="4" max="4" width="14.6666666666667" customWidth="1"/>
  </cols>
  <sheetData>
    <row r="2" spans="3:11">
      <c r="C2" t="s">
        <v>224</v>
      </c>
      <c r="D2" t="s">
        <v>225</v>
      </c>
      <c r="E2" t="s">
        <v>226</v>
      </c>
      <c r="J2" t="s">
        <v>227</v>
      </c>
      <c r="K2">
        <v>1</v>
      </c>
    </row>
    <row r="3" spans="3:11">
      <c r="C3" t="s">
        <v>228</v>
      </c>
      <c r="D3" t="s">
        <v>229</v>
      </c>
      <c r="E3" s="1">
        <v>0</v>
      </c>
      <c r="J3" t="s">
        <v>230</v>
      </c>
      <c r="K3">
        <v>0</v>
      </c>
    </row>
    <row r="4" spans="3:5">
      <c r="C4" t="s">
        <v>231</v>
      </c>
      <c r="D4" t="s">
        <v>232</v>
      </c>
      <c r="E4" s="1">
        <v>1</v>
      </c>
    </row>
  </sheetData>
  <pageMargins left="0.7" right="0.7" top="0.75" bottom="0.75" header="0.3" footer="0.3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B1:C4"/>
  <sheetViews>
    <sheetView topLeftCell="B82" workbookViewId="0">
      <selection activeCell="C2" sqref="C2"/>
    </sheetView>
  </sheetViews>
  <sheetFormatPr defaultColWidth="9.16666666666667" defaultRowHeight="13.5" outlineLevelRow="3" outlineLevelCol="2"/>
  <cols>
    <col min="1" max="1" width="57.3333333333333" style="137" customWidth="1"/>
    <col min="2" max="2" width="9.16666666666667" style="137" customWidth="1"/>
    <col min="3" max="3" width="125.5" style="137" customWidth="1"/>
    <col min="4" max="16384" width="9.16666666666667" style="137"/>
  </cols>
  <sheetData>
    <row r="1" ht="40.5" customHeight="1"/>
    <row r="2" ht="25.5" spans="2:3">
      <c r="B2" s="170" t="s">
        <v>53</v>
      </c>
      <c r="C2" s="171" t="s">
        <v>54</v>
      </c>
    </row>
    <row r="3" ht="281.25" spans="3:3">
      <c r="C3" s="186" t="s">
        <v>55</v>
      </c>
    </row>
    <row r="4" ht="29.25" customHeight="1"/>
  </sheetData>
  <sheetProtection algorithmName="SHA-512" hashValue="DmIrItKkgMjVNJ3Ix8UlyDmgObU8GP4tE12kFCzspQaq1VIO4wTd/G0op/4NkBvdHNqPKkfiSXT7uV3EyhY4Mw==" saltValue="BBrIHHkBkbXq3RfIWISBdg==" spinCount="100000" sheet="1" selectLockedCells="1"/>
  <dataValidations count="1">
    <dataValidation type="list" showErrorMessage="1" sqref="C2">
      <formula1>'Primary Archetype Data Tables'!$B$1:$I$1</formula1>
    </dataValidation>
  </dataValidations>
  <pageMargins left="0.7" right="0.7" top="0.75" bottom="0.75" header="0.3" footer="0.3"/>
  <pageSetup paperSize="9" orientation="portrait" horizontalDpi="360" verticalDpi="360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7"/>
  </sheetPr>
  <dimension ref="A1:AN15"/>
  <sheetViews>
    <sheetView workbookViewId="0">
      <selection activeCell="I33" sqref="I33"/>
    </sheetView>
  </sheetViews>
  <sheetFormatPr defaultColWidth="9.16666666666667" defaultRowHeight="13.5"/>
  <cols>
    <col min="1" max="1" width="3" style="137" customWidth="1"/>
    <col min="2" max="2" width="4.33333333333333" style="137" customWidth="1"/>
    <col min="3" max="3" width="49.3333333333333" style="137" customWidth="1"/>
    <col min="4" max="4" width="16.8333333333333" style="137" customWidth="1"/>
    <col min="5" max="5" width="24.5" style="137" customWidth="1"/>
    <col min="6" max="6" width="29.8333333333333" style="137" customWidth="1"/>
    <col min="7" max="7" width="23.8333333333333" style="137" customWidth="1"/>
    <col min="8" max="16384" width="9.16666666666667" style="137"/>
  </cols>
  <sheetData>
    <row r="1" spans="1:1">
      <c r="A1" s="137">
        <f t="shared" ref="A1:A15" si="0">ROW(A1)</f>
        <v>1</v>
      </c>
    </row>
    <row r="2" spans="1:1">
      <c r="A2" s="137">
        <f t="shared" si="0"/>
        <v>2</v>
      </c>
    </row>
    <row r="3" ht="53" customHeight="1" spans="1:7">
      <c r="A3" s="137">
        <f t="shared" si="0"/>
        <v>3</v>
      </c>
      <c r="C3" s="144" t="str">
        <f>"SMELTER (CRADLE TO GATE) MEASURED AT CASTHOUSE OUTPUT (COLD METAL) in Baseline YEAR ("&amp;Baseline_YEAR&amp;")"</f>
        <v>SMELTER (CRADLE TO GATE) MEASURED AT CASTHOUSE OUTPUT (COLD METAL) in Baseline YEAR (2023)</v>
      </c>
      <c r="D3" s="144" t="s">
        <v>56</v>
      </c>
      <c r="E3" s="144" t="s">
        <v>57</v>
      </c>
      <c r="F3" s="144" t="s">
        <v>58</v>
      </c>
      <c r="G3" s="144" t="s">
        <v>59</v>
      </c>
    </row>
    <row r="4" spans="1:7">
      <c r="A4" s="137">
        <f t="shared" si="0"/>
        <v>4</v>
      </c>
      <c r="C4" s="161" t="s">
        <v>60</v>
      </c>
      <c r="D4" s="162"/>
      <c r="E4" s="147"/>
      <c r="F4" s="163"/>
      <c r="G4" s="164">
        <f>IF(ISBLANK(E4),0,IF(ISBLANK(F4),"NO SPLIT",IF(E4-F4&lt;0,"ERROR",E4-F4)))</f>
        <v>0</v>
      </c>
    </row>
    <row r="5" spans="1:7">
      <c r="A5" s="137">
        <f t="shared" si="0"/>
        <v>5</v>
      </c>
      <c r="C5" s="161" t="s">
        <v>61</v>
      </c>
      <c r="D5" s="162"/>
      <c r="E5" s="147"/>
      <c r="F5" s="163"/>
      <c r="G5" s="164">
        <f t="shared" ref="G5:G8" si="1">IF(ISBLANK(E5),0,IF(ISBLANK(F5),"NO SPLIT",IF(E5-F5&lt;0,"ERROR",E5-F5)))</f>
        <v>0</v>
      </c>
    </row>
    <row r="6" spans="1:7">
      <c r="A6" s="137">
        <f t="shared" si="0"/>
        <v>6</v>
      </c>
      <c r="C6" s="161" t="s">
        <v>62</v>
      </c>
      <c r="D6" s="162"/>
      <c r="E6" s="147"/>
      <c r="F6" s="163"/>
      <c r="G6" s="164">
        <f t="shared" si="1"/>
        <v>0</v>
      </c>
    </row>
    <row r="7" spans="1:7">
      <c r="A7" s="137">
        <f t="shared" si="0"/>
        <v>7</v>
      </c>
      <c r="C7" s="161" t="s">
        <v>63</v>
      </c>
      <c r="D7" s="162"/>
      <c r="E7" s="147"/>
      <c r="F7" s="163"/>
      <c r="G7" s="164">
        <f t="shared" si="1"/>
        <v>0</v>
      </c>
    </row>
    <row r="8" spans="1:7">
      <c r="A8" s="137">
        <f t="shared" si="0"/>
        <v>8</v>
      </c>
      <c r="C8" s="128" t="s">
        <v>64</v>
      </c>
      <c r="D8" s="162"/>
      <c r="E8" s="147"/>
      <c r="F8" s="163"/>
      <c r="G8" s="164">
        <f t="shared" si="1"/>
        <v>0</v>
      </c>
    </row>
    <row r="9" spans="1:7">
      <c r="A9" s="137">
        <f t="shared" si="0"/>
        <v>9</v>
      </c>
      <c r="C9" s="165" t="s">
        <v>65</v>
      </c>
      <c r="D9" s="166">
        <f>SUM(D4:D8)</f>
        <v>0</v>
      </c>
      <c r="E9" s="164">
        <f>IFERROR(ROUND(SUMPRODUCT(E4:E8,D4:D8)/D9,1),0)</f>
        <v>0</v>
      </c>
      <c r="F9" s="164">
        <f>IFERROR(IF(COUNTBLANK(F4:F8)&gt;COUNTBLANK(E4:E8),"NO SPLIT",(ROUND(SUMPRODUCT(F4:F8,D4:D8)/D9,1))),0)</f>
        <v>0</v>
      </c>
      <c r="G9" s="164">
        <f t="array" ref="G9">IF(SUMPRODUCT(ISTEXT(G4:G8)*1)&gt;0,"NO SPLIT",E9-F9)</f>
        <v>0</v>
      </c>
    </row>
    <row r="10" spans="1:1">
      <c r="A10" s="137">
        <f t="shared" si="0"/>
        <v>10</v>
      </c>
    </row>
    <row r="11" spans="1:40">
      <c r="A11" s="137">
        <f t="shared" si="0"/>
        <v>11</v>
      </c>
      <c r="C11" s="151"/>
      <c r="D11" s="158"/>
      <c r="E11" s="151" t="s">
        <v>66</v>
      </c>
      <c r="F11" s="152">
        <v>2016</v>
      </c>
      <c r="G11" s="152">
        <v>2017</v>
      </c>
      <c r="H11" s="152">
        <v>2018</v>
      </c>
      <c r="I11" s="152">
        <v>2019</v>
      </c>
      <c r="J11" s="152">
        <v>2020</v>
      </c>
      <c r="K11" s="152">
        <v>2021</v>
      </c>
      <c r="L11" s="152">
        <v>2022</v>
      </c>
      <c r="M11" s="152">
        <v>2023</v>
      </c>
      <c r="N11" s="152">
        <v>2024</v>
      </c>
      <c r="O11" s="152">
        <v>2025</v>
      </c>
      <c r="P11" s="152">
        <v>2026</v>
      </c>
      <c r="Q11" s="152">
        <v>2027</v>
      </c>
      <c r="R11" s="152">
        <v>2028</v>
      </c>
      <c r="S11" s="152">
        <v>2029</v>
      </c>
      <c r="T11" s="152">
        <v>2030</v>
      </c>
      <c r="U11" s="152">
        <v>2031</v>
      </c>
      <c r="V11" s="152">
        <v>2032</v>
      </c>
      <c r="W11" s="152">
        <v>2033</v>
      </c>
      <c r="X11" s="152">
        <v>2034</v>
      </c>
      <c r="Y11" s="152">
        <v>2035</v>
      </c>
      <c r="Z11" s="152">
        <v>2036</v>
      </c>
      <c r="AA11" s="152">
        <v>2037</v>
      </c>
      <c r="AB11" s="152">
        <v>2038</v>
      </c>
      <c r="AC11" s="152">
        <v>2039</v>
      </c>
      <c r="AD11" s="152">
        <v>2040</v>
      </c>
      <c r="AE11" s="152">
        <v>2041</v>
      </c>
      <c r="AF11" s="152">
        <v>2042</v>
      </c>
      <c r="AG11" s="152">
        <v>2043</v>
      </c>
      <c r="AH11" s="152">
        <v>2044</v>
      </c>
      <c r="AI11" s="152">
        <v>2045</v>
      </c>
      <c r="AJ11" s="152">
        <v>2046</v>
      </c>
      <c r="AK11" s="152">
        <v>2047</v>
      </c>
      <c r="AL11" s="152">
        <v>2048</v>
      </c>
      <c r="AM11" s="152">
        <v>2049</v>
      </c>
      <c r="AN11" s="152">
        <v>2050</v>
      </c>
    </row>
    <row r="12" s="136" customFormat="1" spans="1:40">
      <c r="A12" s="137">
        <f t="shared" si="0"/>
        <v>12</v>
      </c>
      <c r="B12" s="137"/>
      <c r="C12" s="153" t="s">
        <v>67</v>
      </c>
      <c r="D12" s="167" t="s">
        <v>68</v>
      </c>
      <c r="E12" s="154" t="str">
        <f ca="1" t="array" ref="E12">IFERROR(IF(F9=0,"Enter values above",(INDEX(Table2[],MATCH(MIN(ABS(INDIRECT("Table2["&amp;Baseline_YEAR&amp;"]")-F9)),ABS(INDIRECT("Table2["&amp;Baseline_YEAR&amp;"]")-F9),0),0))),"NO SPLIT")</f>
        <v>Enter values above</v>
      </c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</row>
    <row r="13" s="136" customFormat="1" spans="1:40">
      <c r="A13" s="137">
        <f t="shared" si="0"/>
        <v>13</v>
      </c>
      <c r="B13" s="137"/>
      <c r="C13" s="153" t="s">
        <v>69</v>
      </c>
      <c r="D13" s="167" t="s">
        <v>68</v>
      </c>
      <c r="E13" s="154" t="str">
        <f ca="1" t="array" ref="E13">IFERROR(IF(G9=0,"Enter values above",INDEX(Table3[],MATCH(MIN(ABS(INDIRECT("Table3["&amp;Baseline_YEAR&amp;"]")-G9)),ABS(INDIRECT("Table3["&amp;Baseline_YEAR&amp;"]")-G9),0),0)),"NO SPLIT")</f>
        <v>Enter values above</v>
      </c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</row>
    <row r="14" s="136" customFormat="1" spans="1:40">
      <c r="A14" s="137">
        <f t="shared" si="0"/>
        <v>14</v>
      </c>
      <c r="B14" s="137"/>
      <c r="C14" s="153" t="s">
        <v>70</v>
      </c>
      <c r="D14" s="167" t="s">
        <v>68</v>
      </c>
      <c r="E14" s="154" t="str">
        <f ca="1" t="array" ref="E14">IF(E9=0,"Enter values above",(INDEX(Table213[],MATCH(MIN(ABS(INDIRECT("Table213["&amp;Baseline_YEAR&amp;"]")-E9)),ABS(INDIRECT("Table213["&amp;Baseline_YEAR&amp;"]")-E9),0),0)))</f>
        <v>Enter values above</v>
      </c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</row>
    <row r="15" spans="1:38">
      <c r="A15" s="137">
        <f t="shared" si="0"/>
        <v>15</v>
      </c>
      <c r="D15" s="168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</row>
  </sheetData>
  <sheetProtection selectLockedCells="1" insertRows="0"/>
  <pageMargins left="0.7" right="0.7" top="0.75" bottom="0.75" header="0.3" footer="0.3"/>
  <pageSetup paperSize="9" orientation="portrait"/>
  <headerFooter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tabColor theme="8"/>
  </sheetPr>
  <dimension ref="A2:AL27"/>
  <sheetViews>
    <sheetView tabSelected="1" topLeftCell="F3" workbookViewId="0">
      <selection activeCell="I25" sqref="I25"/>
    </sheetView>
  </sheetViews>
  <sheetFormatPr defaultColWidth="9.16666666666667" defaultRowHeight="13.5"/>
  <cols>
    <col min="1" max="1" width="2.5" style="137" customWidth="1"/>
    <col min="2" max="2" width="56.6666666666667" style="138" customWidth="1"/>
    <col min="3" max="3" width="34.25" style="137" customWidth="1"/>
    <col min="4" max="4" width="54.75" style="137" customWidth="1"/>
    <col min="5" max="5" width="31.1666666666667" style="137" customWidth="1"/>
    <col min="6" max="6" width="52" style="137" customWidth="1"/>
    <col min="7" max="7" width="21.5" style="137" customWidth="1"/>
    <col min="8" max="8" width="22.8333333333333" style="137" customWidth="1"/>
    <col min="9" max="9" width="21.5" style="137" customWidth="1"/>
    <col min="10" max="10" width="16.6666666666667" style="137" customWidth="1"/>
    <col min="11" max="11" width="12" style="137" customWidth="1"/>
    <col min="12" max="16384" width="9.16666666666667" style="137"/>
  </cols>
  <sheetData>
    <row r="2" ht="60.75" spans="3:6">
      <c r="C2" s="139" t="s">
        <v>71</v>
      </c>
      <c r="D2" s="139" t="s">
        <v>72</v>
      </c>
      <c r="E2" s="139" t="s">
        <v>73</v>
      </c>
      <c r="F2" s="140" t="s">
        <v>74</v>
      </c>
    </row>
    <row r="3" s="135" customFormat="1" ht="103" customHeight="1" spans="2:6">
      <c r="B3" s="141"/>
      <c r="C3" s="142" t="s">
        <v>75</v>
      </c>
      <c r="D3" s="142" t="s">
        <v>76</v>
      </c>
      <c r="E3" s="142" t="s">
        <v>77</v>
      </c>
      <c r="F3" s="143"/>
    </row>
    <row r="4" ht="27" spans="2:6">
      <c r="B4" s="144" t="str">
        <f>"Casthouse in Baseline YEAR ("&amp;Baseline_YEAR&amp;")"</f>
        <v>Casthouse in Baseline YEAR (2023)</v>
      </c>
      <c r="C4" s="145">
        <v>0.54</v>
      </c>
      <c r="D4" s="145">
        <v>12.88</v>
      </c>
      <c r="E4" s="146"/>
      <c r="F4" s="187" t="s">
        <v>78</v>
      </c>
    </row>
    <row r="5" ht="40.5" spans="2:6">
      <c r="B5" s="144" t="str">
        <f>"Semi-fabrication process in Baseline YEAR ("&amp;Baseline_YEAR&amp;")"</f>
        <v>Semi-fabrication process in Baseline YEAR (2023)</v>
      </c>
      <c r="C5" s="145">
        <f>(3.31+570.92)/1000</f>
        <v>0.57423</v>
      </c>
      <c r="D5" s="145">
        <f>(15470.77+520+96.11+0.99)/1000</f>
        <v>16.08787</v>
      </c>
      <c r="E5" s="146"/>
      <c r="F5" s="187" t="s">
        <v>79</v>
      </c>
    </row>
    <row r="6" ht="54" spans="2:6">
      <c r="B6" s="144" t="str">
        <f>"Fabrication process in Baseline YEAR ("&amp;Baseline_YEAR&amp;")"</f>
        <v>Fabrication process in Baseline YEAR (2023)</v>
      </c>
      <c r="C6"/>
      <c r="D6" s="147"/>
      <c r="E6" s="146"/>
      <c r="F6" s="187" t="s">
        <v>80</v>
      </c>
    </row>
    <row r="7" spans="2:5">
      <c r="B7" s="148"/>
      <c r="C7" s="148"/>
      <c r="E7" s="149">
        <f>SUM(E4:E6)</f>
        <v>0</v>
      </c>
    </row>
    <row r="9" s="136" customFormat="1" spans="1:38">
      <c r="A9" s="137"/>
      <c r="B9" s="150" t="s">
        <v>81</v>
      </c>
      <c r="C9" s="151"/>
      <c r="D9" s="152">
        <v>2016</v>
      </c>
      <c r="E9" s="152">
        <v>2017</v>
      </c>
      <c r="F9" s="152">
        <v>2018</v>
      </c>
      <c r="G9" s="152">
        <v>2019</v>
      </c>
      <c r="H9" s="152">
        <v>2020</v>
      </c>
      <c r="I9" s="152">
        <v>2021</v>
      </c>
      <c r="J9" s="152">
        <v>2022</v>
      </c>
      <c r="K9" s="152">
        <v>2023</v>
      </c>
      <c r="L9" s="152">
        <v>2024</v>
      </c>
      <c r="M9" s="152">
        <v>2025</v>
      </c>
      <c r="N9" s="152">
        <v>2026</v>
      </c>
      <c r="O9" s="152">
        <v>2027</v>
      </c>
      <c r="P9" s="152">
        <v>2028</v>
      </c>
      <c r="Q9" s="152">
        <v>2029</v>
      </c>
      <c r="R9" s="152">
        <v>2030</v>
      </c>
      <c r="S9" s="152">
        <v>2031</v>
      </c>
      <c r="T9" s="152">
        <v>2032</v>
      </c>
      <c r="U9" s="152">
        <v>2033</v>
      </c>
      <c r="V9" s="152">
        <v>2034</v>
      </c>
      <c r="W9" s="152">
        <v>2035</v>
      </c>
      <c r="X9" s="152">
        <v>2036</v>
      </c>
      <c r="Y9" s="152">
        <v>2037</v>
      </c>
      <c r="Z9" s="152">
        <v>2038</v>
      </c>
      <c r="AA9" s="152">
        <v>2039</v>
      </c>
      <c r="AB9" s="152">
        <v>2040</v>
      </c>
      <c r="AC9" s="152">
        <v>2041</v>
      </c>
      <c r="AD9" s="152">
        <v>2042</v>
      </c>
      <c r="AE9" s="152">
        <v>2043</v>
      </c>
      <c r="AF9" s="152">
        <v>2044</v>
      </c>
      <c r="AG9" s="152">
        <v>2045</v>
      </c>
      <c r="AH9" s="152">
        <v>2046</v>
      </c>
      <c r="AI9" s="152">
        <v>2047</v>
      </c>
      <c r="AJ9" s="152">
        <v>2048</v>
      </c>
      <c r="AK9" s="152">
        <v>2049</v>
      </c>
      <c r="AL9" s="152">
        <v>2050</v>
      </c>
    </row>
    <row r="10" s="136" customFormat="1" spans="1:38">
      <c r="A10" s="137"/>
      <c r="B10" s="153" t="s">
        <v>82</v>
      </c>
      <c r="C10" s="154" t="str">
        <f ca="1" t="array" ref="C10">IF(ISBLANK(C4),"NO USER DATA ENTERED",INDEX(Table26[],MATCH(MIN(ABS(INDIRECT("Table26["&amp;Baseline_YEAR&amp;"]")-C4)),ABS(INDIRECT("Table26["&amp;Baseline_YEAR&amp;"]")-C4),0),0))</f>
        <v>recycling_archetype_0.600</v>
      </c>
      <c r="D10" s="155"/>
      <c r="E10" s="155"/>
      <c r="F10" s="155"/>
      <c r="G10" s="155"/>
      <c r="H10" s="155"/>
      <c r="I10" s="155"/>
      <c r="J10" s="155"/>
      <c r="K10" s="155">
        <v>0.54</v>
      </c>
      <c r="L10" s="155">
        <v>0.486</v>
      </c>
      <c r="M10" s="155">
        <v>0.4374</v>
      </c>
      <c r="N10" s="155">
        <v>0.39366</v>
      </c>
      <c r="O10" s="155">
        <v>0.354294</v>
      </c>
      <c r="P10" s="155">
        <v>0.3188646</v>
      </c>
      <c r="Q10" s="155">
        <v>0.28697814</v>
      </c>
      <c r="R10" s="155">
        <v>0.258280326</v>
      </c>
      <c r="S10" s="155">
        <v>0.2324522934</v>
      </c>
      <c r="T10" s="155">
        <v>0.20920706406</v>
      </c>
      <c r="U10" s="155">
        <v>0.188286357654</v>
      </c>
      <c r="V10" s="155">
        <v>0.1694577218886</v>
      </c>
      <c r="W10" s="155">
        <v>0.15251194969974</v>
      </c>
      <c r="X10" s="155">
        <v>0.137260754729766</v>
      </c>
      <c r="Y10" s="155">
        <v>0.123534679256789</v>
      </c>
      <c r="Z10" s="155">
        <v>0.11118121133111</v>
      </c>
      <c r="AA10" s="155">
        <v>0.100063090197999</v>
      </c>
      <c r="AB10" s="155">
        <v>0.0900567811781995</v>
      </c>
      <c r="AC10" s="155">
        <v>0.0810511030603795</v>
      </c>
      <c r="AD10" s="155">
        <v>0.0729459927543416</v>
      </c>
      <c r="AE10" s="155">
        <v>0.0656513934789074</v>
      </c>
      <c r="AF10" s="155">
        <v>0.0590862541310167</v>
      </c>
      <c r="AG10" s="155">
        <v>0.053177628717915</v>
      </c>
      <c r="AH10" s="155">
        <v>0.0478598658461235</v>
      </c>
      <c r="AI10" s="155">
        <v>0.0430738792615112</v>
      </c>
      <c r="AJ10" s="155">
        <v>0.03876649133536</v>
      </c>
      <c r="AK10" s="155">
        <v>0.034889842201824</v>
      </c>
      <c r="AL10" s="155">
        <v>0.0314008579816416</v>
      </c>
    </row>
    <row r="11" s="136" customFormat="1" spans="1:38">
      <c r="A11" s="137"/>
      <c r="B11" s="153" t="s">
        <v>83</v>
      </c>
      <c r="C11" s="154" t="str">
        <f ca="1" t="array" ref="C11">IF(ISBLANK(D4),"NO USER DATA ENTERED",INDEX(Table21319[],MATCH(MIN(ABS(INDIRECT("Table21319["&amp;Baseline_YEAR&amp;"]")-D4)),ABS(INDIRECT("Table21319["&amp;Baseline_YEAR&amp;"]")-D4),0),0))</f>
        <v>casthouse_procurement_archetype_15.1</v>
      </c>
      <c r="D11" s="156"/>
      <c r="E11" s="156"/>
      <c r="F11" s="156"/>
      <c r="G11" s="156"/>
      <c r="H11" s="156"/>
      <c r="I11" s="156"/>
      <c r="J11" s="156"/>
      <c r="K11" s="156">
        <v>12.88</v>
      </c>
      <c r="L11" s="155">
        <v>11.592</v>
      </c>
      <c r="M11" s="155">
        <v>10.4328</v>
      </c>
      <c r="N11" s="155">
        <v>9.38952</v>
      </c>
      <c r="O11" s="155">
        <v>8.450568</v>
      </c>
      <c r="P11" s="155">
        <v>7.6055112</v>
      </c>
      <c r="Q11" s="155">
        <v>6.84496008</v>
      </c>
      <c r="R11" s="155">
        <v>6.160464072</v>
      </c>
      <c r="S11" s="155">
        <v>4.9283712576</v>
      </c>
      <c r="T11" s="155">
        <v>3.94269700608</v>
      </c>
      <c r="U11" s="155">
        <v>3.154157604864</v>
      </c>
      <c r="V11" s="155">
        <v>2.5233260838912</v>
      </c>
      <c r="W11" s="155">
        <v>2.01866086711296</v>
      </c>
      <c r="X11" s="155">
        <v>1.61492869369037</v>
      </c>
      <c r="Y11" s="155">
        <v>1.2919429549523</v>
      </c>
      <c r="Z11" s="155">
        <v>1.03355436396184</v>
      </c>
      <c r="AA11" s="155">
        <v>0.826843491169469</v>
      </c>
      <c r="AB11" s="155">
        <v>0.661474792935575</v>
      </c>
      <c r="AC11" s="155">
        <v>0.562253573995239</v>
      </c>
      <c r="AD11" s="155">
        <v>0.477915537895953</v>
      </c>
      <c r="AE11" s="155">
        <v>0.40622820721156</v>
      </c>
      <c r="AF11" s="155">
        <v>0.345293976129826</v>
      </c>
      <c r="AG11" s="155">
        <v>0.293499879710352</v>
      </c>
      <c r="AH11" s="155">
        <v>0.249474897753799</v>
      </c>
      <c r="AI11" s="155">
        <v>0.212053663090729</v>
      </c>
      <c r="AJ11" s="155">
        <v>0.18024561362712</v>
      </c>
      <c r="AK11" s="155">
        <v>0.153208771583052</v>
      </c>
      <c r="AL11" s="155">
        <v>0.130227455845594</v>
      </c>
    </row>
    <row r="12" spans="2:38">
      <c r="B12" s="157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</row>
    <row r="13" s="136" customFormat="1" spans="1:38">
      <c r="A13" s="137"/>
      <c r="B13" s="150" t="s">
        <v>84</v>
      </c>
      <c r="C13" s="151"/>
      <c r="D13" s="152">
        <v>2016</v>
      </c>
      <c r="E13" s="152">
        <v>2017</v>
      </c>
      <c r="F13" s="152">
        <v>2018</v>
      </c>
      <c r="G13" s="152">
        <v>2019</v>
      </c>
      <c r="H13" s="152">
        <v>2020</v>
      </c>
      <c r="I13" s="152">
        <v>2021</v>
      </c>
      <c r="J13" s="152">
        <v>2022</v>
      </c>
      <c r="K13" s="152">
        <v>2023</v>
      </c>
      <c r="L13" s="152">
        <v>2024</v>
      </c>
      <c r="M13" s="152">
        <v>2025</v>
      </c>
      <c r="N13" s="152">
        <v>2026</v>
      </c>
      <c r="O13" s="152">
        <v>2027</v>
      </c>
      <c r="P13" s="152">
        <v>2028</v>
      </c>
      <c r="Q13" s="152">
        <v>2029</v>
      </c>
      <c r="R13" s="152">
        <v>2030</v>
      </c>
      <c r="S13" s="152">
        <v>2031</v>
      </c>
      <c r="T13" s="152">
        <v>2032</v>
      </c>
      <c r="U13" s="152">
        <v>2033</v>
      </c>
      <c r="V13" s="152">
        <v>2034</v>
      </c>
      <c r="W13" s="152">
        <v>2035</v>
      </c>
      <c r="X13" s="152">
        <v>2036</v>
      </c>
      <c r="Y13" s="152">
        <v>2037</v>
      </c>
      <c r="Z13" s="152">
        <v>2038</v>
      </c>
      <c r="AA13" s="152">
        <v>2039</v>
      </c>
      <c r="AB13" s="152">
        <v>2040</v>
      </c>
      <c r="AC13" s="152">
        <v>2041</v>
      </c>
      <c r="AD13" s="152">
        <v>2042</v>
      </c>
      <c r="AE13" s="152">
        <v>2043</v>
      </c>
      <c r="AF13" s="152">
        <v>2044</v>
      </c>
      <c r="AG13" s="152">
        <v>2045</v>
      </c>
      <c r="AH13" s="152">
        <v>2046</v>
      </c>
      <c r="AI13" s="152">
        <v>2047</v>
      </c>
      <c r="AJ13" s="152">
        <v>2048</v>
      </c>
      <c r="AK13" s="152">
        <v>2049</v>
      </c>
      <c r="AL13" s="152">
        <v>2050</v>
      </c>
    </row>
    <row r="14" s="136" customFormat="1" spans="1:38">
      <c r="A14" s="137"/>
      <c r="B14" s="153" t="s">
        <v>82</v>
      </c>
      <c r="C14" s="159" t="str">
        <f ca="1" t="array" ref="C14">IF(ISBLANK(C5),"NO USER DATA ENTERED",INDEX(Table269[],MATCH(MIN(ABS(INDIRECT("Table269["&amp;Baseline_YEAR&amp;"]")-C5)),ABS(INDIRECT("Table269["&amp;Baseline_YEAR&amp;"]")-C5),0),0))</f>
        <v>semis_archetype_0.500</v>
      </c>
      <c r="D14" s="155"/>
      <c r="E14" s="155"/>
      <c r="F14" s="155"/>
      <c r="G14" s="155"/>
      <c r="H14" s="155"/>
      <c r="I14" s="155"/>
      <c r="J14" s="155"/>
      <c r="K14" s="155">
        <v>0.57</v>
      </c>
      <c r="L14" s="155">
        <v>0.513</v>
      </c>
      <c r="M14" s="155">
        <v>0.4617</v>
      </c>
      <c r="N14" s="155">
        <v>0.41553</v>
      </c>
      <c r="O14" s="155">
        <v>0.373977</v>
      </c>
      <c r="P14" s="155">
        <v>0.3365793</v>
      </c>
      <c r="Q14" s="155">
        <v>0.30292137</v>
      </c>
      <c r="R14" s="155">
        <v>0.272629233</v>
      </c>
      <c r="S14" s="155">
        <v>0.2453663097</v>
      </c>
      <c r="T14" s="155">
        <v>0.22082967873</v>
      </c>
      <c r="U14" s="155">
        <v>0.198746710857</v>
      </c>
      <c r="V14" s="155">
        <v>0.1788720397713</v>
      </c>
      <c r="W14" s="155">
        <v>0.16098483579417</v>
      </c>
      <c r="X14" s="155">
        <v>0.144886352214753</v>
      </c>
      <c r="Y14" s="155">
        <v>0.130397716993278</v>
      </c>
      <c r="Z14" s="155">
        <v>0.11735794529395</v>
      </c>
      <c r="AA14" s="155">
        <v>0.105622150764555</v>
      </c>
      <c r="AB14" s="155">
        <v>0.0950599356880995</v>
      </c>
      <c r="AC14" s="155">
        <v>0.0855539421192895</v>
      </c>
      <c r="AD14" s="155">
        <v>0.0769985479073605</v>
      </c>
      <c r="AE14" s="155">
        <v>0.0692986931166245</v>
      </c>
      <c r="AF14" s="155">
        <v>0.062368823804962</v>
      </c>
      <c r="AG14" s="155">
        <v>0.0561319414244658</v>
      </c>
      <c r="AH14" s="155">
        <v>0.0505187472820193</v>
      </c>
      <c r="AI14" s="155">
        <v>0.0454668725538173</v>
      </c>
      <c r="AJ14" s="155">
        <v>0.0409201852984356</v>
      </c>
      <c r="AK14" s="155">
        <v>0.036828166768592</v>
      </c>
      <c r="AL14" s="155">
        <v>0.0331453500917328</v>
      </c>
    </row>
    <row r="15" spans="2:38">
      <c r="B15" s="153" t="s">
        <v>83</v>
      </c>
      <c r="C15" s="159" t="str">
        <f ca="1" t="array" ref="C15">IF(ISBLANK(D5),"NO USER DATA ENTERED",INDEX(Table26916[],MATCH(MIN(ABS(INDIRECT("Table26916["&amp;Baseline_YEAR&amp;"]")-D5)),ABS(INDIRECT("Table26916["&amp;Baseline_YEAR&amp;"]")-D5),0),0))</f>
        <v>semis_procurement_archetype_18.9</v>
      </c>
      <c r="D15" s="156"/>
      <c r="E15" s="156"/>
      <c r="F15" s="156"/>
      <c r="G15" s="156"/>
      <c r="H15" s="156"/>
      <c r="I15" s="156"/>
      <c r="J15" s="156"/>
      <c r="K15" s="156">
        <v>16.09</v>
      </c>
      <c r="L15" s="155">
        <v>14.481</v>
      </c>
      <c r="M15" s="155">
        <v>13.0329</v>
      </c>
      <c r="N15" s="155">
        <v>11.72961</v>
      </c>
      <c r="O15" s="155">
        <v>10.556649</v>
      </c>
      <c r="P15" s="155">
        <v>9.5009841</v>
      </c>
      <c r="Q15" s="155">
        <v>8.55088569</v>
      </c>
      <c r="R15" s="155">
        <v>7.695797121</v>
      </c>
      <c r="S15" s="155">
        <v>6.1566376968</v>
      </c>
      <c r="T15" s="155">
        <v>4.92531015744</v>
      </c>
      <c r="U15" s="155">
        <v>3.940248125952</v>
      </c>
      <c r="V15" s="155">
        <v>3.1521985007616</v>
      </c>
      <c r="W15" s="155">
        <v>2.52175880060928</v>
      </c>
      <c r="X15" s="155">
        <v>2.01740704048742</v>
      </c>
      <c r="Y15" s="155">
        <v>1.61392563238994</v>
      </c>
      <c r="Z15" s="155">
        <v>1.29114050591195</v>
      </c>
      <c r="AA15" s="155">
        <v>1.03291240472956</v>
      </c>
      <c r="AB15" s="155">
        <v>0.826329923783649</v>
      </c>
      <c r="AC15" s="155">
        <v>0.702380435216102</v>
      </c>
      <c r="AD15" s="155">
        <v>0.597023369933687</v>
      </c>
      <c r="AE15" s="155">
        <v>0.507469864443634</v>
      </c>
      <c r="AF15" s="155">
        <v>0.431349384777089</v>
      </c>
      <c r="AG15" s="155">
        <v>0.366646977060525</v>
      </c>
      <c r="AH15" s="155">
        <v>0.311649930501447</v>
      </c>
      <c r="AI15" s="155">
        <v>0.26490244092623</v>
      </c>
      <c r="AJ15" s="155">
        <v>0.225167074787295</v>
      </c>
      <c r="AK15" s="155">
        <v>0.191392013569201</v>
      </c>
      <c r="AL15" s="155">
        <v>0.162683211533821</v>
      </c>
    </row>
    <row r="16" spans="2:38">
      <c r="B16" s="157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</row>
    <row r="17" s="136" customFormat="1" spans="1:38">
      <c r="A17" s="137"/>
      <c r="B17" s="151" t="s">
        <v>85</v>
      </c>
      <c r="C17" s="151"/>
      <c r="D17" s="152">
        <v>2016</v>
      </c>
      <c r="E17" s="152">
        <v>2017</v>
      </c>
      <c r="F17" s="152">
        <v>2018</v>
      </c>
      <c r="G17" s="152">
        <v>2019</v>
      </c>
      <c r="H17" s="152">
        <v>2020</v>
      </c>
      <c r="I17" s="152">
        <v>2021</v>
      </c>
      <c r="J17" s="152">
        <v>2022</v>
      </c>
      <c r="K17" s="152">
        <v>2023</v>
      </c>
      <c r="L17" s="152">
        <v>2024</v>
      </c>
      <c r="M17" s="152">
        <v>2025</v>
      </c>
      <c r="N17" s="152">
        <v>2026</v>
      </c>
      <c r="O17" s="152">
        <v>2027</v>
      </c>
      <c r="P17" s="152">
        <v>2028</v>
      </c>
      <c r="Q17" s="152">
        <v>2029</v>
      </c>
      <c r="R17" s="152">
        <v>2030</v>
      </c>
      <c r="S17" s="152">
        <v>2031</v>
      </c>
      <c r="T17" s="152">
        <v>2032</v>
      </c>
      <c r="U17" s="152">
        <v>2033</v>
      </c>
      <c r="V17" s="152">
        <v>2034</v>
      </c>
      <c r="W17" s="152">
        <v>2035</v>
      </c>
      <c r="X17" s="152">
        <v>2036</v>
      </c>
      <c r="Y17" s="152">
        <v>2037</v>
      </c>
      <c r="Z17" s="152">
        <v>2038</v>
      </c>
      <c r="AA17" s="152">
        <v>2039</v>
      </c>
      <c r="AB17" s="152">
        <v>2040</v>
      </c>
      <c r="AC17" s="152">
        <v>2041</v>
      </c>
      <c r="AD17" s="152">
        <v>2042</v>
      </c>
      <c r="AE17" s="152">
        <v>2043</v>
      </c>
      <c r="AF17" s="152">
        <v>2044</v>
      </c>
      <c r="AG17" s="152">
        <v>2045</v>
      </c>
      <c r="AH17" s="152">
        <v>2046</v>
      </c>
      <c r="AI17" s="152">
        <v>2047</v>
      </c>
      <c r="AJ17" s="152">
        <v>2048</v>
      </c>
      <c r="AK17" s="152">
        <v>2049</v>
      </c>
      <c r="AL17" s="152">
        <v>2050</v>
      </c>
    </row>
    <row r="18" spans="2:38">
      <c r="B18" s="153" t="s">
        <v>83</v>
      </c>
      <c r="C18" s="159" t="str">
        <f ca="1" t="array" ref="C18">IF(ISBLANK(D6),"NO USER DATA ENTERED",INDEX(Table2691617[],MATCH(MIN(ABS(INDIRECT("Table2691617["&amp;Baseline_YEAR&amp;"]")-D6)),ABS(INDIRECT("Table2691617["&amp;Baseline_YEAR&amp;"]")-D6),0),0))</f>
        <v>NO USER DATA ENTERED</v>
      </c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</row>
    <row r="19" spans="2:38">
      <c r="B19" s="157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</row>
    <row r="20" s="136" customFormat="1" spans="1:38">
      <c r="A20" s="137"/>
      <c r="B20" s="151" t="s">
        <v>86</v>
      </c>
      <c r="C20" s="151"/>
      <c r="D20" s="152">
        <v>2016</v>
      </c>
      <c r="E20" s="152">
        <v>2017</v>
      </c>
      <c r="F20" s="152">
        <v>2018</v>
      </c>
      <c r="G20" s="152">
        <v>2019</v>
      </c>
      <c r="H20" s="152">
        <v>2020</v>
      </c>
      <c r="I20" s="152">
        <v>2021</v>
      </c>
      <c r="J20" s="152">
        <v>2022</v>
      </c>
      <c r="K20" s="152">
        <v>2023</v>
      </c>
      <c r="L20" s="152">
        <v>2024</v>
      </c>
      <c r="M20" s="152">
        <v>2025</v>
      </c>
      <c r="N20" s="152">
        <v>2026</v>
      </c>
      <c r="O20" s="152">
        <v>2027</v>
      </c>
      <c r="P20" s="152">
        <v>2028</v>
      </c>
      <c r="Q20" s="152">
        <v>2029</v>
      </c>
      <c r="R20" s="152">
        <v>2030</v>
      </c>
      <c r="S20" s="152">
        <v>2031</v>
      </c>
      <c r="T20" s="152">
        <v>2032</v>
      </c>
      <c r="U20" s="152">
        <v>2033</v>
      </c>
      <c r="V20" s="152">
        <v>2034</v>
      </c>
      <c r="W20" s="152">
        <v>2035</v>
      </c>
      <c r="X20" s="152">
        <v>2036</v>
      </c>
      <c r="Y20" s="152">
        <v>2037</v>
      </c>
      <c r="Z20" s="152">
        <v>2038</v>
      </c>
      <c r="AA20" s="152">
        <v>2039</v>
      </c>
      <c r="AB20" s="152">
        <v>2040</v>
      </c>
      <c r="AC20" s="152">
        <v>2041</v>
      </c>
      <c r="AD20" s="152">
        <v>2042</v>
      </c>
      <c r="AE20" s="152">
        <v>2043</v>
      </c>
      <c r="AF20" s="152">
        <v>2044</v>
      </c>
      <c r="AG20" s="152">
        <v>2045</v>
      </c>
      <c r="AH20" s="152">
        <v>2046</v>
      </c>
      <c r="AI20" s="152">
        <v>2047</v>
      </c>
      <c r="AJ20" s="152">
        <v>2048</v>
      </c>
      <c r="AK20" s="152">
        <v>2049</v>
      </c>
      <c r="AL20" s="152">
        <v>2050</v>
      </c>
    </row>
    <row r="21" spans="2:38">
      <c r="B21" s="153" t="s">
        <v>83</v>
      </c>
      <c r="C21" s="159" t="str">
        <f>IF(E7&gt;0,"INCLUDES: ","NO INTEGRATED SLOPE")&amp;IF(E4&gt;0,"CASTING","")&amp;IF(AND(E4&gt;0,E5+E6&gt;0)," + ","")&amp;IF(E5&gt;0,"SEMI-FABRICATION","")&amp;IF(AND(E5&gt;0,E6&gt;0)," + ","")&amp;IF(E6&gt;0,"FABRICATION","")</f>
        <v>NO INTEGRATED SLOPE</v>
      </c>
      <c r="D21" s="156" t="str">
        <f>IFERROR(((D11*$E$4)+(D15*$E$5)+(D18*$E$6))/$E$7,"")</f>
        <v/>
      </c>
      <c r="E21" s="156" t="str">
        <f>IFERROR(((E11*$E$4)+(E15*$E$5)+(E18*$E$6))/$E$7,"")</f>
        <v/>
      </c>
      <c r="F21" s="156" t="str">
        <f t="shared" ref="F21:AJ21" si="0">IFERROR(((F11*$E$4)+(F15*$E$5)+(F18*$E$6))/$E$7,"")</f>
        <v/>
      </c>
      <c r="G21" s="156" t="str">
        <f t="shared" si="0"/>
        <v/>
      </c>
      <c r="H21" s="156" t="str">
        <f t="shared" si="0"/>
        <v/>
      </c>
      <c r="I21" s="156" t="str">
        <f t="shared" si="0"/>
        <v/>
      </c>
      <c r="J21" s="156" t="str">
        <f t="shared" si="0"/>
        <v/>
      </c>
      <c r="K21" s="156" t="str">
        <f t="shared" si="0"/>
        <v/>
      </c>
      <c r="L21" s="156" t="str">
        <f t="shared" si="0"/>
        <v/>
      </c>
      <c r="M21" s="156" t="str">
        <f t="shared" si="0"/>
        <v/>
      </c>
      <c r="N21" s="156" t="str">
        <f t="shared" si="0"/>
        <v/>
      </c>
      <c r="O21" s="156" t="str">
        <f t="shared" si="0"/>
        <v/>
      </c>
      <c r="P21" s="156" t="str">
        <f t="shared" si="0"/>
        <v/>
      </c>
      <c r="Q21" s="156" t="str">
        <f t="shared" si="0"/>
        <v/>
      </c>
      <c r="R21" s="156" t="str">
        <f t="shared" si="0"/>
        <v/>
      </c>
      <c r="S21" s="156" t="str">
        <f t="shared" si="0"/>
        <v/>
      </c>
      <c r="T21" s="156" t="str">
        <f t="shared" si="0"/>
        <v/>
      </c>
      <c r="U21" s="156" t="str">
        <f t="shared" si="0"/>
        <v/>
      </c>
      <c r="V21" s="156" t="str">
        <f t="shared" si="0"/>
        <v/>
      </c>
      <c r="W21" s="156" t="str">
        <f t="shared" si="0"/>
        <v/>
      </c>
      <c r="X21" s="156" t="str">
        <f t="shared" si="0"/>
        <v/>
      </c>
      <c r="Y21" s="156" t="str">
        <f t="shared" si="0"/>
        <v/>
      </c>
      <c r="Z21" s="156" t="str">
        <f t="shared" si="0"/>
        <v/>
      </c>
      <c r="AA21" s="156" t="str">
        <f t="shared" si="0"/>
        <v/>
      </c>
      <c r="AB21" s="156" t="str">
        <f t="shared" si="0"/>
        <v/>
      </c>
      <c r="AC21" s="156" t="str">
        <f t="shared" si="0"/>
        <v/>
      </c>
      <c r="AD21" s="156" t="str">
        <f t="shared" si="0"/>
        <v/>
      </c>
      <c r="AE21" s="156" t="str">
        <f t="shared" si="0"/>
        <v/>
      </c>
      <c r="AF21" s="156" t="str">
        <f t="shared" si="0"/>
        <v/>
      </c>
      <c r="AG21" s="156" t="str">
        <f t="shared" si="0"/>
        <v/>
      </c>
      <c r="AH21" s="156" t="str">
        <f t="shared" si="0"/>
        <v/>
      </c>
      <c r="AI21" s="156" t="str">
        <f t="shared" si="0"/>
        <v/>
      </c>
      <c r="AJ21" s="156" t="str">
        <f t="shared" si="0"/>
        <v/>
      </c>
      <c r="AK21" s="156" t="str">
        <f t="shared" ref="AK21:AL21" si="1">IFERROR(((AK11*$E$4)+(AK15*$E$5)+(AK18*$E$6))/$E$7,"")</f>
        <v/>
      </c>
      <c r="AL21" s="156" t="str">
        <f t="shared" si="1"/>
        <v/>
      </c>
    </row>
    <row r="27" spans="5:5">
      <c r="E27" s="160"/>
    </row>
  </sheetData>
  <sheetProtection selectLockedCells="1" insertRows="0" autoFilter="0"/>
  <pageMargins left="0.7" right="0.7" top="0.75" bottom="0.75" header="0.3" footer="0.3"/>
  <pageSetup paperSize="9" orientation="portrait"/>
  <headerFooter/>
  <ignoredErrors>
    <ignoredError sqref="C5:D5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7"/>
  </sheetPr>
  <dimension ref="A1:AL14"/>
  <sheetViews>
    <sheetView zoomScale="93" zoomScaleNormal="93" workbookViewId="0">
      <selection activeCell="AH11" sqref="AH11:AK14"/>
    </sheetView>
  </sheetViews>
  <sheetFormatPr defaultColWidth="8.83333333333333" defaultRowHeight="13.5"/>
  <cols>
    <col min="1" max="1" width="38.1666666666667" customWidth="1"/>
    <col min="2" max="2" width="39.6666666666667" customWidth="1"/>
    <col min="3" max="3" width="39" customWidth="1"/>
    <col min="4" max="4" width="12.3333333333333" customWidth="1"/>
  </cols>
  <sheetData>
    <row r="1" spans="1:3">
      <c r="A1" s="127"/>
      <c r="B1" s="128" t="s">
        <v>87</v>
      </c>
      <c r="C1" s="128" t="s">
        <v>88</v>
      </c>
    </row>
    <row r="2" spans="1:3">
      <c r="A2" s="129" t="s">
        <v>89</v>
      </c>
      <c r="B2" s="130">
        <v>0.333</v>
      </c>
      <c r="C2" s="131">
        <v>60000</v>
      </c>
    </row>
    <row r="3" spans="1:6">
      <c r="A3" s="129" t="s">
        <v>90</v>
      </c>
      <c r="B3" s="130">
        <v>0.298</v>
      </c>
      <c r="C3" s="131">
        <v>120000</v>
      </c>
      <c r="F3" s="3"/>
    </row>
    <row r="4" spans="1:3">
      <c r="A4" s="129" t="s">
        <v>91</v>
      </c>
      <c r="B4" s="130">
        <v>0.301</v>
      </c>
      <c r="C4" s="131">
        <v>150000</v>
      </c>
    </row>
    <row r="5" spans="1:3">
      <c r="A5" s="129" t="s">
        <v>92</v>
      </c>
      <c r="B5" s="130"/>
      <c r="C5" s="131"/>
    </row>
    <row r="6" spans="1:3">
      <c r="A6" s="129" t="s">
        <v>93</v>
      </c>
      <c r="B6" s="130"/>
      <c r="C6" s="131"/>
    </row>
    <row r="7" spans="1:3">
      <c r="A7" s="129" t="s">
        <v>94</v>
      </c>
      <c r="B7" s="130"/>
      <c r="C7" s="131"/>
    </row>
    <row r="8" spans="1:3">
      <c r="A8" s="129" t="s">
        <v>95</v>
      </c>
      <c r="B8" s="130"/>
      <c r="C8" s="131"/>
    </row>
    <row r="9" spans="1:3">
      <c r="A9" s="132" t="s">
        <v>65</v>
      </c>
      <c r="B9" s="133">
        <f>IFERROR(SUMPRODUCT(B2:B8,$C$2:$C$8)/$C$9,0)</f>
        <v>0.305727272727273</v>
      </c>
      <c r="C9" s="134">
        <f>SUM(C2:C8)</f>
        <v>330000</v>
      </c>
    </row>
    <row r="11" spans="4:33">
      <c r="D11">
        <v>2021</v>
      </c>
      <c r="E11">
        <v>2022</v>
      </c>
      <c r="F11">
        <v>2023</v>
      </c>
      <c r="G11">
        <v>2024</v>
      </c>
      <c r="H11">
        <v>2025</v>
      </c>
      <c r="I11">
        <v>2026</v>
      </c>
      <c r="J11">
        <v>2027</v>
      </c>
      <c r="K11">
        <v>2028</v>
      </c>
      <c r="L11">
        <v>2029</v>
      </c>
      <c r="M11">
        <v>2030</v>
      </c>
      <c r="N11">
        <v>2031</v>
      </c>
      <c r="O11">
        <v>2032</v>
      </c>
      <c r="P11">
        <v>2033</v>
      </c>
      <c r="Q11">
        <v>2034</v>
      </c>
      <c r="R11">
        <v>2035</v>
      </c>
      <c r="S11">
        <v>2036</v>
      </c>
      <c r="T11">
        <v>2037</v>
      </c>
      <c r="U11">
        <v>2038</v>
      </c>
      <c r="V11">
        <v>2039</v>
      </c>
      <c r="W11">
        <v>2040</v>
      </c>
      <c r="X11">
        <v>2041</v>
      </c>
      <c r="Y11">
        <v>2042</v>
      </c>
      <c r="Z11">
        <v>2043</v>
      </c>
      <c r="AA11">
        <v>2044</v>
      </c>
      <c r="AB11">
        <v>2045</v>
      </c>
      <c r="AC11">
        <v>2046</v>
      </c>
      <c r="AD11">
        <v>2047</v>
      </c>
      <c r="AE11">
        <v>2048</v>
      </c>
      <c r="AF11">
        <v>2049</v>
      </c>
      <c r="AG11">
        <v>2050</v>
      </c>
    </row>
    <row r="12" spans="1:38">
      <c r="A12" t="s">
        <v>96</v>
      </c>
      <c r="B12" s="125" t="s">
        <v>68</v>
      </c>
      <c r="C12" t="str">
        <f ca="1" t="array" ref="C12:AL12">IF(B9=0,"Enter value(s) in B3:C9",(INDEX(Table26[],MATCH(MIN(ABS(INDIRECT("Table26["&amp;Baseline_YEAR&amp;"]")-B9)),ABS(INDIRECT("Table26["&amp;Baseline_YEAR&amp;"]")-B9),0),0)))</f>
        <v>recycling_archetype_0.340</v>
      </c>
      <c r="D12" s="3">
        <v>0.34</v>
      </c>
      <c r="E12" s="3">
        <v>0.34</v>
      </c>
      <c r="F12" s="3">
        <v>0.34</v>
      </c>
      <c r="G12" s="3">
        <v>0.332920470251614</v>
      </c>
      <c r="H12" s="3">
        <v>0.326177394769851</v>
      </c>
      <c r="I12" s="3">
        <v>0.319747345311593</v>
      </c>
      <c r="J12" s="3">
        <v>0.31360901945609</v>
      </c>
      <c r="K12" s="3">
        <v>0.307743004838186</v>
      </c>
      <c r="L12" s="3">
        <v>0.302131574078235</v>
      </c>
      <c r="M12" s="3">
        <v>0.296758505844932</v>
      </c>
      <c r="N12" s="3">
        <v>0.291608928246617</v>
      </c>
      <c r="O12" s="3">
        <v>0.28666918136665</v>
      </c>
      <c r="P12" s="3">
        <v>0.281926696267155</v>
      </c>
      <c r="Q12" s="3">
        <v>0.27736988820445</v>
      </c>
      <c r="R12" s="3">
        <v>0.272988062146085</v>
      </c>
      <c r="S12" s="3">
        <v>0.26190368785727</v>
      </c>
      <c r="T12" s="3">
        <v>0.251155265492845</v>
      </c>
      <c r="U12" s="3">
        <v>0.240727749703219</v>
      </c>
      <c r="V12" s="3">
        <v>0.230606980317393</v>
      </c>
      <c r="W12" s="3">
        <v>0.220779618188301</v>
      </c>
      <c r="X12" s="3">
        <v>0.207675092061098</v>
      </c>
      <c r="Y12" s="3">
        <v>0.194991934643279</v>
      </c>
      <c r="Z12" s="3">
        <v>0.182710144194411</v>
      </c>
      <c r="AA12" s="3">
        <v>0.170810965192171</v>
      </c>
      <c r="AB12" s="3">
        <v>0.15927679276319</v>
      </c>
      <c r="AC12" s="3">
        <v>0.146765978417445</v>
      </c>
      <c r="AD12" s="3">
        <v>0.134503803665332</v>
      </c>
      <c r="AE12" s="3">
        <v>0.122482929251861</v>
      </c>
      <c r="AF12" s="3">
        <v>0.110696301957701</v>
      </c>
      <c r="AG12" s="3">
        <v>0.0991371407989057</v>
      </c>
      <c r="AH12" s="3">
        <v>0.0943097255652155</v>
      </c>
      <c r="AI12" s="3">
        <v>0.0895570227957144</v>
      </c>
      <c r="AJ12" s="3">
        <v>0.0848773113553981</v>
      </c>
      <c r="AK12">
        <v>0.0802689225722926</v>
      </c>
      <c r="AL12">
        <v>0.0757302382536226</v>
      </c>
    </row>
    <row r="14" spans="3:36">
      <c r="C14" s="3" t="str">
        <f t="array" ref="C14">Table15[Sectoral Benchmark]</f>
        <v>Recycling Gate-to-Gate Sectoral (IAI/MPP)</v>
      </c>
      <c r="D14" s="3">
        <f t="array" ref="D14">Table15[2016]</f>
        <v>0.418040921900816</v>
      </c>
      <c r="E14" s="3">
        <f t="array" ref="E14">Table15[2017]</f>
        <v>0.418040921900816</v>
      </c>
      <c r="F14" s="3">
        <f t="array" ref="F14">Table15[2018]</f>
        <v>0.418040921900816</v>
      </c>
      <c r="G14" s="3">
        <f t="array" ref="G14">Table15[2019]</f>
        <v>0.408870751798659</v>
      </c>
      <c r="H14" s="3">
        <f t="array" ref="H14">Table15[2020]</f>
        <v>0.400136393532343</v>
      </c>
      <c r="I14" s="3">
        <f t="array" ref="I14">Table15[2021]</f>
        <v>0.39180750031582</v>
      </c>
      <c r="J14" s="3">
        <f t="array" ref="J14">Table15[2022]</f>
        <v>0.383856478957338</v>
      </c>
      <c r="K14" s="3">
        <f t="array" ref="K14">Table15[2023]</f>
        <v>0.376258184468897</v>
      </c>
      <c r="L14" s="3">
        <f t="array" ref="L14">Table15[2024]</f>
        <v>0.36898965443737</v>
      </c>
      <c r="M14" s="3">
        <f t="array" ref="M14">Table15[2025]</f>
        <v>0.362029877245798</v>
      </c>
      <c r="N14" s="3">
        <f t="array" ref="N14">Table15[2026]</f>
        <v>0.355359589216912</v>
      </c>
      <c r="O14" s="3">
        <f t="array" ref="O14">Table15[2027]</f>
        <v>0.348961096554143</v>
      </c>
      <c r="P14" s="3">
        <f t="array" ref="P14">Table15[2028]</f>
        <v>0.342818118614228</v>
      </c>
      <c r="Q14" s="3">
        <f t="array" ref="Q14">Table15[2029]</f>
        <v>0.336915649588314</v>
      </c>
      <c r="R14" s="3">
        <f t="array" ref="R14">Table15[2030]</f>
        <v>0.331239836117451</v>
      </c>
      <c r="S14" s="3">
        <f t="array" ref="S14">Table15[2031]</f>
        <v>0.316882159645001</v>
      </c>
      <c r="T14" s="3">
        <f t="array" ref="T14">Table15[2032]</f>
        <v>0.30295964432058</v>
      </c>
      <c r="U14" s="3">
        <f t="array" ref="U14">Table15[2033]</f>
        <v>0.28945280178551</v>
      </c>
      <c r="V14" s="3">
        <f t="array" ref="V14">Table15[2034]</f>
        <v>0.27634329025985</v>
      </c>
      <c r="W14" s="3">
        <f t="array" ref="W14">Table15[2035]</f>
        <v>0.263613831442362</v>
      </c>
      <c r="X14" s="3">
        <f t="array" ref="X14">Table15[2036]</f>
        <v>0.246639436536824</v>
      </c>
      <c r="Y14" s="3">
        <f t="array" ref="Y14">Table15[2037]</f>
        <v>0.230210843807152</v>
      </c>
      <c r="Z14" s="3">
        <f t="array" ref="Z14">Table15[2038]</f>
        <v>0.214302144842954</v>
      </c>
      <c r="AA14" s="3">
        <f t="array" ref="AA14">Table15[2039]</f>
        <v>0.198889045469874</v>
      </c>
      <c r="AB14" s="3">
        <f t="array" ref="AB14">Table15[2040]</f>
        <v>0.183948741958121</v>
      </c>
      <c r="AC14" s="3">
        <f t="array" ref="AC14">Table15[2041]</f>
        <v>0.167743386553953</v>
      </c>
      <c r="AD14" s="3">
        <f t="array" ref="AD14">Table15[2042]</f>
        <v>0.15186009595476</v>
      </c>
      <c r="AE14" s="3">
        <f t="array" ref="AE14">Table15[2043]</f>
        <v>0.136289363566311</v>
      </c>
      <c r="AF14" s="3">
        <f t="array" ref="AF14">Table15[2044]</f>
        <v>0.121022053298589</v>
      </c>
      <c r="AG14" s="3">
        <f t="array" ref="AG14">Table15[2045]</f>
        <v>0.106049381690202</v>
      </c>
      <c r="AH14" s="3"/>
      <c r="AI14" s="3"/>
      <c r="AJ14" s="3"/>
    </row>
  </sheetData>
  <pageMargins left="0.7" right="0.7" top="0.75" bottom="0.75" header="0.3" footer="0.3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tabColor theme="7"/>
  </sheetPr>
  <dimension ref="A1:AL12"/>
  <sheetViews>
    <sheetView workbookViewId="0">
      <selection activeCell="C3" sqref="C3"/>
    </sheetView>
  </sheetViews>
  <sheetFormatPr defaultColWidth="8.83333333333333" defaultRowHeight="13.5"/>
  <cols>
    <col min="1" max="1" width="38.1666666666667" customWidth="1"/>
    <col min="2" max="2" width="39.6666666666667" customWidth="1"/>
    <col min="3" max="3" width="30.5" customWidth="1"/>
    <col min="4" max="4" width="9.33333333333333" customWidth="1"/>
    <col min="5" max="5" width="8" customWidth="1"/>
  </cols>
  <sheetData>
    <row r="1" spans="1:3">
      <c r="A1" s="127"/>
      <c r="B1" s="128" t="s">
        <v>87</v>
      </c>
      <c r="C1" s="128" t="s">
        <v>97</v>
      </c>
    </row>
    <row r="2" spans="1:3">
      <c r="A2" s="129" t="s">
        <v>98</v>
      </c>
      <c r="B2" s="130">
        <v>0.15</v>
      </c>
      <c r="C2" s="131">
        <v>1000</v>
      </c>
    </row>
    <row r="3" spans="1:3">
      <c r="A3" s="129" t="s">
        <v>99</v>
      </c>
      <c r="B3" s="130"/>
      <c r="C3" s="131"/>
    </row>
    <row r="4" spans="1:3">
      <c r="A4" s="129" t="s">
        <v>100</v>
      </c>
      <c r="B4" s="130"/>
      <c r="C4" s="131"/>
    </row>
    <row r="5" spans="1:3">
      <c r="A5" s="129" t="s">
        <v>101</v>
      </c>
      <c r="B5" s="130"/>
      <c r="C5" s="131"/>
    </row>
    <row r="6" spans="1:3">
      <c r="A6" s="129" t="s">
        <v>102</v>
      </c>
      <c r="B6" s="130"/>
      <c r="C6" s="131"/>
    </row>
    <row r="7" spans="1:3">
      <c r="A7" s="129" t="s">
        <v>103</v>
      </c>
      <c r="B7" s="130"/>
      <c r="C7" s="131"/>
    </row>
    <row r="8" spans="1:3">
      <c r="A8" s="129" t="s">
        <v>104</v>
      </c>
      <c r="B8" s="130"/>
      <c r="C8" s="131"/>
    </row>
    <row r="9" spans="1:3">
      <c r="A9" s="132" t="s">
        <v>65</v>
      </c>
      <c r="B9" s="133">
        <f>IFERROR((SUMPRODUCT(B2:B8,$C$2:$C$8)/$C$9),0)</f>
        <v>0.15</v>
      </c>
      <c r="C9" s="134">
        <f>SUM(C2:C8)</f>
        <v>1000</v>
      </c>
    </row>
    <row r="11" spans="4:33">
      <c r="D11">
        <v>2021</v>
      </c>
      <c r="E11">
        <v>2022</v>
      </c>
      <c r="F11">
        <v>2023</v>
      </c>
      <c r="G11">
        <v>2024</v>
      </c>
      <c r="H11">
        <v>2025</v>
      </c>
      <c r="I11">
        <v>2026</v>
      </c>
      <c r="J11">
        <v>2027</v>
      </c>
      <c r="K11">
        <v>2028</v>
      </c>
      <c r="L11">
        <v>2029</v>
      </c>
      <c r="M11">
        <v>2030</v>
      </c>
      <c r="N11">
        <v>2031</v>
      </c>
      <c r="O11">
        <v>2032</v>
      </c>
      <c r="P11">
        <v>2033</v>
      </c>
      <c r="Q11">
        <v>2034</v>
      </c>
      <c r="R11">
        <v>2035</v>
      </c>
      <c r="S11">
        <v>2036</v>
      </c>
      <c r="T11">
        <v>2037</v>
      </c>
      <c r="U11">
        <v>2038</v>
      </c>
      <c r="V11">
        <v>2039</v>
      </c>
      <c r="W11">
        <v>2040</v>
      </c>
      <c r="X11">
        <v>2041</v>
      </c>
      <c r="Y11">
        <v>2042</v>
      </c>
      <c r="Z11">
        <v>2043</v>
      </c>
      <c r="AA11">
        <v>2044</v>
      </c>
      <c r="AB11">
        <v>2045</v>
      </c>
      <c r="AC11">
        <v>2046</v>
      </c>
      <c r="AD11">
        <v>2047</v>
      </c>
      <c r="AE11">
        <v>2048</v>
      </c>
      <c r="AF11">
        <v>2049</v>
      </c>
      <c r="AG11">
        <v>2050</v>
      </c>
    </row>
    <row r="12" spans="1:38">
      <c r="A12" t="s">
        <v>105</v>
      </c>
      <c r="B12" s="125" t="s">
        <v>68</v>
      </c>
      <c r="C12" t="str">
        <f ca="1" t="array" ref="C12:AL12">IF(B9=0,"Enter value(s) in B3:C9",(INDEX(Table269[],MATCH(MIN(ABS(INDIRECT("Table269["&amp;Baseline_YEAR&amp;"]")-B9)),ABS(INDIRECT("Table269["&amp;Baseline_YEAR&amp;"]")-B9),0),0)))</f>
        <v>semis_archetype_0.165</v>
      </c>
      <c r="D12" s="3">
        <v>0.165</v>
      </c>
      <c r="E12" s="3">
        <v>0.165</v>
      </c>
      <c r="F12" s="3">
        <v>0.165</v>
      </c>
      <c r="G12" s="3">
        <v>0.16188235675707</v>
      </c>
      <c r="H12" s="3">
        <v>0.15876471351414</v>
      </c>
      <c r="I12" s="3">
        <v>0.155647070271209</v>
      </c>
      <c r="J12" s="3">
        <v>0.152529427028279</v>
      </c>
      <c r="K12" s="3">
        <v>0.149411783785349</v>
      </c>
      <c r="L12" s="3">
        <v>0.146294140542419</v>
      </c>
      <c r="M12" s="3">
        <v>0.143176497299488</v>
      </c>
      <c r="N12" s="3">
        <v>0.140058854056558</v>
      </c>
      <c r="O12" s="3">
        <v>0.136941210813628</v>
      </c>
      <c r="P12" s="3">
        <v>0.133823567570698</v>
      </c>
      <c r="Q12" s="3">
        <v>0.130705924327768</v>
      </c>
      <c r="R12" s="3">
        <v>0.127588281084837</v>
      </c>
      <c r="S12" s="3">
        <v>0.125585430710612</v>
      </c>
      <c r="T12" s="3">
        <v>0.123582580336387</v>
      </c>
      <c r="U12" s="3">
        <v>0.121579729962163</v>
      </c>
      <c r="V12" s="3">
        <v>0.119576879587938</v>
      </c>
      <c r="W12" s="3">
        <v>0.117574029213713</v>
      </c>
      <c r="X12" s="3">
        <v>0.115130295861915</v>
      </c>
      <c r="Y12" s="3">
        <v>0.112686562510118</v>
      </c>
      <c r="Z12" s="3">
        <v>0.11024282915832</v>
      </c>
      <c r="AA12" s="3">
        <v>0.107799095806523</v>
      </c>
      <c r="AB12" s="3">
        <v>0.105355362454725</v>
      </c>
      <c r="AC12" s="3">
        <v>0.10350647568821</v>
      </c>
      <c r="AD12" s="3">
        <v>0.101657588921695</v>
      </c>
      <c r="AE12" s="3">
        <v>0.0998087021551801</v>
      </c>
      <c r="AF12" s="3">
        <v>0.097959815388665</v>
      </c>
      <c r="AG12" s="3">
        <v>0.0961109286221498</v>
      </c>
      <c r="AH12" s="3">
        <v>0.0881469988846681</v>
      </c>
      <c r="AI12" s="3">
        <v>0.0801830691471863</v>
      </c>
      <c r="AJ12" s="3">
        <v>0.0722191394097046</v>
      </c>
      <c r="AK12">
        <v>0.0642552096722228</v>
      </c>
      <c r="AL12">
        <v>0.0562912799347411</v>
      </c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"/>
  <sheetViews>
    <sheetView showGridLines="0" showRowColHeaders="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"/>
  <sheetViews>
    <sheetView showGridLines="0" showRowColHeaders="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? > < c t : c o n t e n t T y p e S c h e m a   c t : _ = " "   m a : _ = " "   m a : c o n t e n t T y p e N a m e = " D o c u m e n t "   m a : c o n t e n t T y p e I D = " 0 x 0 1 0 1 0 0 2 0 6 8 9 1 7 A D 7 D 4 A 5 4 1 B 4 7 E 0 2 7 1 4 9 6 B 0 5 0 3 "   m a : c o n t e n t T y p e V e r s i o n = " 4 "   m a : c o n t e n t T y p e D e s c r i p t i o n = " C r e a t e   a   n e w   d o c u m e n t . "   m a : c o n t e n t T y p e S c o p e = " "   m a : v e r s i o n I D = " e c 4 0 5 e 1 f 0 e 2 7 3 1 c e e 6 e a f 2 c a e c 1 f 6 2 3 1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3 5 e 4 e 1 d 1 0 8 2 f d 5 1 1 e 1 f 6 8 d 0 4 f 2 2 d 6 a 6 7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0 b 2 c d c 9 5 - 5 f 2 4 - 4 2 2 0 - 8 8 d d - 2 3 5 f 1 8 d 7 4 5 e 7 " >  
 < x s d : i m p o r t   n a m e s p a c e = " 0 b 2 c d c 9 5 - 5 f 2 4 - 4 2 2 0 - 8 8 d d - 2 3 5 f 1 8 d 7 4 5 e 7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0 b 2 c d c 9 5 - 5 f 2 4 - 4 2 2 0 - 8 8 d d - 2 3 5 f 1 8 d 7 4 5 e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A u t o K e y P o i n t s "   m a : i n d e x = " 1 0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1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/ > < / p : p r o p e r t i e s > 
</file>

<file path=customXml/item3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i Y s Y V y 6 a / 9 y k A A A A 9 g A A A B I A H A B D b 2 5 m a W c v U G F j a 2 F n Z S 5 4 b W w g o h g A K K A U A A A A A A A A A A A A A A A A A A A A A A A A A A A A h Y + x D o I w F E V / h X S n L X U x 5 F E T H V w k M T E x r k 2 p 0 A g P Q 4 v l 3 x z 8 J H 9 B j K J u j v f c M 9 x 7 v 9 5 g M T R 1 d D G d s y 1 m J K G c R A Z 1 W 1 g s M 9 L 7 Y z w n C w l b p U + q N N E o o 0 s H V 2 S k 8 v 6 c M h Z C o G F G 2 6 5 k g v O E H f L N T l e m U e Q j 2 / 9 y b N F 5 h d o Q C f v X G C l o I j g V Q l A O b I K Q W / w K Y t z 7 b H 8 g r P r a 9 5 2 R B u P 1 E t g U g b 0 / y A d Q S w M E F A A C A A g A i Y s Y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m L G F c o i k e 4 D g A A A B E A A A A T A B w A R m 9 y b X V s Y X M v U 2 V j d G l v b j E u b S C i G A A o o B Q A A A A A A A A A A A A A A A A A A A A A A A A A A A A r T k 0 u y c z P U w i G 0 I b W A F B L A Q I t A B Q A A g A I A I m L G F c u m v / c p A A A A P Y A A A A S A A A A A A A A A A A A A A A A A A A A A A B D b 2 5 m a W c v U G F j a 2 F n Z S 5 4 b W x Q S w E C L Q A U A A I A C A C J i x h X D 8 r p q 6 Q A A A D p A A A A E w A A A A A A A A A A A A A A A A D w A A A A W 0 N v b n R l b n R f V H l w Z X N d L n h t b F B L A Q I t A B Q A A g A I A I m L G F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/ Y D 4 w Q v N A T 6 o a X z j 4 E O f W A A A A A A I A A A A A A B B m A A A A A Q A A I A A A A E Y W S V D Q p v 6 7 X D O F R S q x m d v o Y X 1 A G X L A u c 1 t 2 w t S 9 G D V A A A A A A 6 A A A A A A g A A I A A A A A V i A 5 H n / H U Y L H J 4 Y M J S y W K T r H V Q F I j w 1 V U F d B 6 0 y R S v U A A A A G w p / n Z N a + D 4 a v 5 f N R h k 6 g b p E m H h p + 5 O U l i A U t 8 7 A b 1 F Z G B 1 s D X g v y k c h M 7 4 o r + k h u 5 I M S k H + l t a R d i / y W 7 6 h N 9 E S R Z w d D N / M c 7 8 w 2 + 7 H t r 9 Q A A A A M 7 o q B U M S t q / E g 2 9 K J r b I 6 B c v j v q Z L K 1 w A c 1 V 1 G T p X W i B b K Q Z 0 E P h m w 9 w B v F C u w P i 0 t p 0 o q H C x R Y 8 7 P e I G T A 3 q Y = < / D a t a M a s h u p > 
</file>

<file path=customXml/itemProps1.xml><?xml version="1.0" encoding="utf-8"?>
<ds:datastoreItem xmlns:ds="http://schemas.openxmlformats.org/officeDocument/2006/customXml" ds:itemID="{F76FB33F-EFFF-42A2-8547-65F89FDAA3B2}">
  <ds:schemaRefs/>
</ds:datastoreItem>
</file>

<file path=customXml/itemProps2.xml><?xml version="1.0" encoding="utf-8"?>
<ds:datastoreItem xmlns:ds="http://schemas.openxmlformats.org/officeDocument/2006/customXml" ds:itemID="{100D1A65-D816-42F8-8EFC-99FBB59EE71F}">
  <ds:schemaRefs/>
</ds:datastoreItem>
</file>

<file path=customXml/itemProps3.xml><?xml version="1.0" encoding="utf-8"?>
<ds:datastoreItem xmlns:ds="http://schemas.openxmlformats.org/officeDocument/2006/customXml" ds:itemID="{B5020C04-811A-4E7C-B3CC-B2C5C419D069}">
  <ds:schemaRefs/>
</ds:datastoreItem>
</file>

<file path=customXml/itemProps4.xml><?xml version="1.0" encoding="utf-8"?>
<ds:datastoreItem xmlns:ds="http://schemas.openxmlformats.org/officeDocument/2006/customXml" ds:itemID="{27970527-2C5A-4EDE-B84B-BB33E407139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Overview</vt:lpstr>
      <vt:lpstr>User Guide</vt:lpstr>
      <vt:lpstr>Baseline year</vt:lpstr>
      <vt:lpstr>Primary (100% electrolytic)</vt:lpstr>
      <vt:lpstr>Casthouse &amp; Post-CH Data Entry</vt:lpstr>
      <vt:lpstr>Recycling Gate to Gate</vt:lpstr>
      <vt:lpstr>Semis Gate to Gate</vt:lpstr>
      <vt:lpstr>Integrated Proc'ment Scope 3.1</vt:lpstr>
      <vt:lpstr>Casthouse Scopes 1+2 Slope</vt:lpstr>
      <vt:lpstr>CH Procurement Scope 3 Cat.1</vt:lpstr>
      <vt:lpstr>Semi-fab Scopes 1+2 Slope Chart</vt:lpstr>
      <vt:lpstr>Semi-fab Procurement Scope 3.1</vt:lpstr>
      <vt:lpstr>Fabrication Proc'ment Scope 3.1</vt:lpstr>
      <vt:lpstr>Sectoral Slopes</vt:lpstr>
      <vt:lpstr>IAI 1.5</vt:lpstr>
      <vt:lpstr>5.2 smelter thresholds</vt:lpstr>
      <vt:lpstr>Primary Archetype Data Tables</vt:lpstr>
      <vt:lpstr>Primary (no split) Data Table</vt:lpstr>
      <vt:lpstr>Casthouse Proc'ment Data Table</vt:lpstr>
      <vt:lpstr>Semis Procurement Data Table</vt:lpstr>
      <vt:lpstr>Post-Semis Proc'ment Data Table</vt:lpstr>
      <vt:lpstr>Recycling G2G Data Table</vt:lpstr>
      <vt:lpstr>Semis G2G Data Table</vt:lpstr>
      <vt:lpstr>System Boundaries</vt:lpstr>
      <vt:lpstr>Dropdowns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</dc:creator>
  <cp:lastModifiedBy>胡红民</cp:lastModifiedBy>
  <dcterms:created xsi:type="dcterms:W3CDTF">2022-11-16T15:30:00Z</dcterms:created>
  <dcterms:modified xsi:type="dcterms:W3CDTF">2025-03-20T00:51:22Z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chnology">
    <vt:lpwstr/>
  </property>
  <property fmtid="{D5CDD505-2E9C-101B-9397-08002B2CF9AE}" pid="3" name="Legal Designation">
    <vt:lpwstr>2;#Restricted - Internal use only|16e0e62b-45fc-43f2-9316-8e87a381ed63</vt:lpwstr>
  </property>
  <property fmtid="{D5CDD505-2E9C-101B-9397-08002B2CF9AE}" pid="4" name="MediaServiceImageTags">
    <vt:lpwstr/>
  </property>
  <property fmtid="{D5CDD505-2E9C-101B-9397-08002B2CF9AE}" pid="5" name="ContentTypeId">
    <vt:lpwstr>0x0101002068917AD7D4A541B47E0271496B0503</vt:lpwstr>
  </property>
  <property fmtid="{D5CDD505-2E9C-101B-9397-08002B2CF9AE}" pid="6" name="lcf76f155ced4ddcb4097134ff3c332f">
    <vt:lpwstr/>
  </property>
  <property fmtid="{D5CDD505-2E9C-101B-9397-08002B2CF9AE}" pid="7" name="Document Status">
    <vt:lpwstr>1;#Draft|1196e416-c1e2-46e4-892a-39f21fb650b4</vt:lpwstr>
  </property>
  <property fmtid="{D5CDD505-2E9C-101B-9397-08002B2CF9AE}" pid="8" name="Program">
    <vt:lpwstr>3;#Climate Aligned Industries|558af8d9-7d73-441f-b2d6-f7fdb8796609</vt:lpwstr>
  </property>
  <property fmtid="{D5CDD505-2E9C-101B-9397-08002B2CF9AE}" pid="9" name="Initiative">
    <vt:lpwstr>4;#GCF - Center for Climate-Aligned Finance|d264b266-edd0-46de-b091-1fac0814056b</vt:lpwstr>
  </property>
  <property fmtid="{D5CDD505-2E9C-101B-9397-08002B2CF9AE}" pid="10" name="Countries_x0020_Impacted">
    <vt:lpwstr/>
  </property>
  <property fmtid="{D5CDD505-2E9C-101B-9397-08002B2CF9AE}" pid="11" name="Countries Impacted">
    <vt:lpwstr/>
  </property>
  <property fmtid="{D5CDD505-2E9C-101B-9397-08002B2CF9AE}" pid="12" name="ICV">
    <vt:lpwstr>EA47E2F2D7D0493AA4E61CE00C51FF92_12</vt:lpwstr>
  </property>
  <property fmtid="{D5CDD505-2E9C-101B-9397-08002B2CF9AE}" pid="13" name="KSOProductBuildVer">
    <vt:lpwstr>2052-11.1.0.14178</vt:lpwstr>
  </property>
</Properties>
</file>